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U3onNTcTOfUUNYFeOz2mgeJIidncjavQU4DMTxEvDqImR3AfbrYUfYjdwGtvx68+edJp3GsCNS9LPhxKSAM0vg==" workbookSaltValue="3XJYZgBTbdcIoBZCUWtmO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E9" i="13" s="1"/>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O12" i="11" s="1"/>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ES19" i="8"/>
  <c r="AC19" i="8"/>
  <c r="BH19" i="13"/>
  <c r="R8" i="9"/>
  <c r="X12" i="21" s="1"/>
  <c r="R19" i="8"/>
  <c r="EP19" i="8"/>
  <c r="EP19" i="19"/>
  <c r="T17" i="11"/>
  <c r="AP16" i="20"/>
  <c r="BH9" i="16"/>
  <c r="V15" i="11"/>
  <c r="BJ17" i="11"/>
  <c r="BH15" i="11"/>
  <c r="BH15" i="16"/>
  <c r="Q17" i="20"/>
  <c r="Q18" i="20" s="1"/>
  <c r="V11" i="16"/>
  <c r="BF17" i="11"/>
  <c r="BF16" i="11"/>
  <c r="S17" i="16"/>
  <c r="BL12" i="11"/>
  <c r="AT17" i="20"/>
  <c r="V17" i="16"/>
  <c r="M13" i="2"/>
  <c r="H13" i="1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BF9" i="8"/>
  <c r="J18" i="17"/>
  <c r="L15" i="2"/>
  <c r="L17" i="2"/>
  <c r="V10" i="16"/>
  <c r="V9" i="16"/>
  <c r="BG15" i="13"/>
  <c r="BA18" i="13"/>
  <c r="BE15" i="13"/>
  <c r="AH20" i="20"/>
  <c r="AL20" i="20"/>
  <c r="AB20" i="20"/>
  <c r="AO20" i="20"/>
  <c r="Y20" i="20"/>
  <c r="U10" i="11"/>
  <c r="AN20" i="20"/>
  <c r="AJ19" i="8" l="1"/>
  <c r="C17" i="6"/>
  <c r="BD16" i="8"/>
  <c r="T19" i="8"/>
  <c r="BD12" i="8"/>
  <c r="H12" i="7" s="1"/>
  <c r="AC10" i="11"/>
  <c r="AY13" i="8"/>
  <c r="B10" i="6"/>
  <c r="D10" i="6"/>
  <c r="AL12" i="11"/>
  <c r="K15" i="7"/>
  <c r="E12" i="6"/>
  <c r="H12" i="2"/>
  <c r="L9" i="14"/>
  <c r="C10" i="6"/>
  <c r="AO17" i="11"/>
  <c r="L16" i="14"/>
  <c r="BG12" i="13"/>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BM16" i="11"/>
  <c r="BG10" i="11"/>
  <c r="BH17" i="16"/>
  <c r="BL9" i="11"/>
  <c r="BH11" i="16"/>
  <c r="BF11" i="11"/>
  <c r="T9" i="11"/>
  <c r="BF15" i="13"/>
  <c r="BG16" i="13"/>
  <c r="BE16" i="13"/>
  <c r="L17" i="14"/>
  <c r="F15" i="17"/>
  <c r="AQ15" i="17" s="1"/>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C13" i="6"/>
  <c r="J13" i="2"/>
  <c r="J18" i="2"/>
  <c r="BG13" i="13"/>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P20" i="11"/>
  <c r="U20" i="16"/>
  <c r="O20" i="17"/>
  <c r="AR20" i="20"/>
  <c r="E20" i="17"/>
  <c r="V20" i="17"/>
  <c r="AN20" i="17"/>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AS20" i="21"/>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J20" i="12"/>
  <c r="O12" i="11"/>
  <c r="U20" i="21"/>
  <c r="BD19" i="8" l="1"/>
  <c r="AP20" i="11"/>
  <c r="BL20" i="16"/>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<sst xmlns="http://schemas.openxmlformats.org/spreadsheetml/2006/main" count="2102" uniqueCount="916">
  <si>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</si>
  <si>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</si>
  <si>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</si>
  <si>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</si>
  <si>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</si>
  <si>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</si>
  <si>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</si>
  <si>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</si>
  <si>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</si>
  <si>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</si>
  <si>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</si>
  <si>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</si>
  <si>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</si>
  <si>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</si>
  <si>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</si>
  <si>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</si>
  <si>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</si>
  <si>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</si>
  <si>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</si>
  <si>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</si>
  <si>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</si>
  <si>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</si>
  <si>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</si>
  <si>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</si>
  <si>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</si>
  <si>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</si>
  <si>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</si>
  <si>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</si>
  <si>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</si>
  <si>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</si>
  <si>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</si>
  <si>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</si>
  <si>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</si>
  <si>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</si>
  <si>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</si>
  <si>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</si>
  <si>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</si>
  <si>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</si>
  <si>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</si>
  <si>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</si>
  <si>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</si>
  <si>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</si>
  <si>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</si>
  <si>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</si>
  <si>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</si>
  <si>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</si>
  <si>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</si>
  <si>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</si>
  <si>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</si>
  <si>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</si>
  <si>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</si>
  <si>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</si>
  <si>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</si>
  <si>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</si>
  <si>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</si>
  <si>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</si>
  <si>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</si>
  <si>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</si>
  <si>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</si>
  <si>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</si>
  <si>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</si>
  <si>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</si>
  <si>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</si>
  <si>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</si>
  <si>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</si>
  <si>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</si>
  <si>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</si>
  <si>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</si>
  <si>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</si>
  <si>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</si>
  <si>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</si>
  <si>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</si>
  <si>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</si>
  <si>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</si>
  <si>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</si>
  <si>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</si>
  <si>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</si>
  <si>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</si>
  <si>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</si>
  <si>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</si>
  <si>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</si>
  <si>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</si>
  <si>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</si>
  <si>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</si>
  <si>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</si>
  <si>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</si>
  <si>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</si>
  <si>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</si>
  <si>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</si>
  <si>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</si>
  <si>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</si>
  <si>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</si>
  <si>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</si>
  <si>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</si>
  <si>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</si>
  <si>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</si>
  <si>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</si>
  <si>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</si>
  <si>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</si>
  <si>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</si>
  <si>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</si>
  <si>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</si>
  <si>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</si>
  <si>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</si>
  <si>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</si>
  <si>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</si>
  <si>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</si>
  <si>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</si>
  <si>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</si>
  <si>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</si>
  <si>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</si>
  <si>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</si>
  <si>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</si>
  <si>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</si>
  <si>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</si>
  <si>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</si>
  <si>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</si>
  <si>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</si>
  <si>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</si>
  <si>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</si>
  <si>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</si>
  <si>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</si>
  <si>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</si>
  <si>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</si>
  <si>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</si>
  <si>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</si>
  <si>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</si>
  <si>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</si>
  <si>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</si>
  <si>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</si>
  <si>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</si>
  <si>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</si>
  <si>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</si>
  <si>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</si>
  <si>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</si>
  <si>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</si>
  <si>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</si>
  <si>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</si>
  <si>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</si>
  <si>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</si>
  <si>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</si>
  <si>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</si>
  <si>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</si>
  <si>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</si>
  <si>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</si>
  <si>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</si>
  <si>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</si>
  <si>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</si>
  <si>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</si>
  <si>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</si>
  <si>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</si>
  <si>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</si>
  <si>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</si>
  <si>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</si>
  <si>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</si>
  <si>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</si>
  <si>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</si>
  <si>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</si>
  <si>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</si>
  <si>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</si>
  <si>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</si>
  <si>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</si>
  <si>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</si>
  <si>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</si>
  <si>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</si>
  <si>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</si>
  <si>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</si>
  <si>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</si>
  <si>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</si>
  <si>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</si>
  <si>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</si>
  <si>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</si>
  <si>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</si>
  <si>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</si>
  <si>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</si>
  <si>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</si>
  <si>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</si>
  <si>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</si>
  <si>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</si>
  <si>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</si>
  <si>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</si>
  <si>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</si>
  <si>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</si>
  <si>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</si>
  <si>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</si>
  <si>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</si>
  <si>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</si>
  <si>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</si>
  <si>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</si>
  <si>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</si>
  <si>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</si>
  <si>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</si>
  <si>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</si>
  <si>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</si>
  <si>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</si>
  <si>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</si>
  <si>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</si>
  <si>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</si>
  <si>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</si>
  <si>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</si>
  <si>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</si>
  <si>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</si>
  <si>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</si>
  <si>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</si>
  <si>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</si>
  <si>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</si>
  <si>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</si>
  <si>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</si>
  <si>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</si>
  <si>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</si>
  <si>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</si>
  <si>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</si>
  <si>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</si>
  <si>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</si>
  <si>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</si>
  <si>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</si>
  <si>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</si>
  <si>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</si>
  <si>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</si>
  <si>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</si>
  <si>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</si>
  <si>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</si>
  <si>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</si>
  <si>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</si>
  <si>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</si>
  <si>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</si>
  <si>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</si>
  <si>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</si>
  <si>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</si>
  <si>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</si>
  <si>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</si>
  <si>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</si>
  <si>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</si>
  <si>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</si>
  <si>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</si>
  <si>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</si>
  <si>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</si>
  <si>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</si>
  <si>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</si>
  <si>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</si>
  <si>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</si>
  <si>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</si>
  <si>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</si>
  <si>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</si>
  <si>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</si>
  <si>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</si>
  <si>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</si>
  <si>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</si>
  <si>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</si>
  <si>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</si>
  <si>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</si>
  <si>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</si>
  <si>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</si>
  <si>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</si>
  <si>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</si>
  <si>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</si>
  <si>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</si>
  <si>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</si>
  <si>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</si>
  <si>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</si>
  <si>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</si>
  <si>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</si>
  <si>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</si>
  <si>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</si>
  <si>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</si>
  <si>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</si>
  <si>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</si>
  <si>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</si>
  <si>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</si>
  <si>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</si>
  <si>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</si>
  <si>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</si>
  <si>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</si>
  <si>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</si>
  <si>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</si>
  <si>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</si>
  <si>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</si>
  <si>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</si>
  <si>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</si>
  <si>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</si>
  <si>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</si>
  <si>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</si>
  <si>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</si>
  <si>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</si>
  <si>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</si>
  <si>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</si>
  <si>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</si>
  <si>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</si>
  <si>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</si>
  <si>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</si>
  <si>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</si>
  <si>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</si>
  <si>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</si>
  <si>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</si>
  <si>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</si>
  <si>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</si>
  <si>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</si>
  <si>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</si>
  <si>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</si>
  <si>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</si>
  <si>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</si>
  <si>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</si>
  <si>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</si>
  <si>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</si>
  <si>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</si>
  <si>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</si>
  <si>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</si>
  <si>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</si>
  <si>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</si>
  <si>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</si>
  <si>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</si>
  <si>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</si>
  <si>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</si>
  <si>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</si>
  <si>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</si>
  <si>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</si>
  <si>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</si>
  <si>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</si>
  <si>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</si>
  <si>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</si>
  <si>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</si>
  <si>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</si>
  <si>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</si>
  <si>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</si>
  <si>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</si>
  <si>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</si>
  <si>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</si>
  <si>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</si>
  <si>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</si>
  <si>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</si>
  <si>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</si>
  <si>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</si>
  <si>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</si>
  <si>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</si>
  <si>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</si>
  <si>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</si>
  <si>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</si>
  <si>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</si>
  <si>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</si>
  <si>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</si>
  <si>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</si>
  <si>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</si>
  <si>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</si>
  <si>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</si>
  <si>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</si>
  <si>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</si>
  <si>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</si>
  <si>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</si>
  <si>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</si>
  <si>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</si>
  <si>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</si>
  <si>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</si>
  <si>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</si>
  <si>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</si>
  <si>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</si>
  <si>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</si>
  <si>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</si>
  <si>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</si>
  <si>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</si>
  <si>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</si>
  <si>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</si>
  <si>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</si>
  <si>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</si>
  <si>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</si>
  <si>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</si>
  <si>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</si>
  <si>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</si>
  <si>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</si>
  <si>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</si>
  <si>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</si>
  <si>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</si>
  <si>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</si>
  <si>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</si>
  <si>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</si>
  <si>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</si>
  <si>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</si>
  <si>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</si>
  <si>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</si>
  <si>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</si>
  <si>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</si>
  <si>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</si>
  <si>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</si>
  <si>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</si>
  <si>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</si>
  <si>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</si>
  <si>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</si>
  <si>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</si>
  <si>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</si>
  <si>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</si>
  <si>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</si>
  <si>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</si>
  <si>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</si>
  <si>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</si>
  <si>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</si>
  <si>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</si>
  <si>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</si>
  <si>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</si>
  <si>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</si>
  <si>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</si>
  <si>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</si>
  <si>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</si>
  <si>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</si>
  <si>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</si>
  <si>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</si>
  <si>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</si>
  <si>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</si>
  <si>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</si>
  <si>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</si>
  <si>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</si>
  <si>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</si>
  <si>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</si>
  <si>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</si>
  <si>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</si>
  <si>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</si>
  <si>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</si>
  <si>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</si>
  <si>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</si>
  <si>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</si>
  <si>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</si>
  <si>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</si>
  <si>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</si>
  <si>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</si>
  <si>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</si>
  <si>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</si>
  <si>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</si>
  <si>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</si>
  <si>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</si>
  <si>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</si>
  <si>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</si>
  <si>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</si>
  <si>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</si>
  <si>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</si>
  <si>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</si>
  <si>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</si>
  <si>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</si>
  <si>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</si>
  <si>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</si>
  <si>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</si>
  <si>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</si>
  <si>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</si>
  <si>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</si>
  <si>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</si>
  <si>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</si>
  <si>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</si>
  <si>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</si>
  <si>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</si>
  <si>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</si>
  <si>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</si>
  <si>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</si>
  <si>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</si>
  <si>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</si>
  <si>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</si>
  <si>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</si>
  <si>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</si>
  <si>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</si>
  <si>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</si>
  <si>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</si>
  <si>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</si>
  <si>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</si>
  <si>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</si>
  <si>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</si>
  <si>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</si>
  <si>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</si>
  <si>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</si>
  <si>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</si>
  <si>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</si>
  <si>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</si>
  <si>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</si>
  <si>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</si>
  <si>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</si>
  <si>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</si>
  <si>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</si>
  <si>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</si>
  <si>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</si>
  <si>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</si>
  <si>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</si>
  <si>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</si>
  <si>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</si>
  <si>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</si>
  <si>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</si>
  <si>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</si>
  <si>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</si>
  <si>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</si>
  <si>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</si>
  <si>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</si>
  <si>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</si>
  <si>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</si>
  <si>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</si>
  <si>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</si>
  <si>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</si>
  <si>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</si>
  <si>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</si>
  <si>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</si>
  <si>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</si>
  <si>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</si>
  <si>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</si>
  <si>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</si>
  <si>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</si>
  <si>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</si>
  <si>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</si>
  <si>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</si>
  <si>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</si>
  <si>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</si>
  <si>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</si>
  <si>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</si>
  <si>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</si>
  <si>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</si>
  <si>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</si>
  <si>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</si>
  <si>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</si>
  <si>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</si>
  <si>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</si>
  <si>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</si>
  <si>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</si>
  <si>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</si>
  <si>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</si>
  <si>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</si>
  <si>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</si>
  <si>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</si>
  <si>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</si>
  <si>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</si>
  <si>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</si>
  <si>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</si>
  <si>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</si>
  <si>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</si>
  <si>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</si>
  <si>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</si>
  <si>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</si>
  <si>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</si>
  <si>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</si>
  <si>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</si>
  <si>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</si>
  <si>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</si>
  <si>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</si>
  <si>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</si>
  <si>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</si>
  <si>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</si>
  <si>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</si>
  <si>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</si>
  <si>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</si>
  <si>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</si>
  <si>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</si>
  <si>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</si>
  <si>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</si>
  <si>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</si>
  <si>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</si>
  <si>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</si>
  <si>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</si>
  <si>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</si>
  <si>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</si>
  <si>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</si>
  <si>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</si>
  <si>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</si>
  <si>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</si>
  <si>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</si>
  <si>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</si>
  <si>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</si>
  <si>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</si>
  <si>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</si>
  <si>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</si>
  <si>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</si>
  <si>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</si>
  <si>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</si>
  <si>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</si>
  <si>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</si>
  <si>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</si>
  <si>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</si>
  <si>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</si>
  <si>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</si>
  <si>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</si>
  <si>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</si>
  <si>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</si>
  <si>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</si>
  <si>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</si>
  <si>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</si>
  <si>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</si>
  <si>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</si>
  <si>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</si>
  <si>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</si>
  <si>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</si>
  <si>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</si>
  <si>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</si>
  <si>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</si>
  <si>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</si>
  <si>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</si>
  <si>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</si>
  <si>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</si>
  <si>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</si>
  <si>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</si>
  <si>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</si>
  <si>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</si>
  <si>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</si>
  <si>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</si>
  <si>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</si>
  <si>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</si>
  <si>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</si>
  <si>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</si>
  <si>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</si>
  <si>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</si>
  <si>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</si>
  <si>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</si>
  <si>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</si>
  <si>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</si>
  <si>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</si>
  <si>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</si>
  <si>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</si>
  <si>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</si>
  <si>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</si>
  <si>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</si>
  <si>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</si>
  <si>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</si>
  <si>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</si>
  <si>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</si>
  <si>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</si>
  <si>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</si>
  <si>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</si>
  <si>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</si>
  <si>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</si>
  <si>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</si>
  <si>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</si>
  <si>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</si>
  <si>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</si>
  <si>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</si>
  <si>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</si>
  <si>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</si>
  <si>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</si>
  <si>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</si>
  <si>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</si>
  <si>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</si>
  <si>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</si>
  <si>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</si>
  <si>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</si>
  <si>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</si>
  <si>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</si>
  <si>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</si>
  <si>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</si>
  <si>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</si>
  <si>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</si>
  <si>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</si>
  <si>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</si>
  <si>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</si>
  <si>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</si>
  <si>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</si>
  <si>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</si>
  <si>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</si>
  <si>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</si>
  <si>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</si>
  <si>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</si>
  <si>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</si>
  <si>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</si>
  <si>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</si>
  <si>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</si>
  <si>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</si>
  <si>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</si>
  <si>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</si>
  <si>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</si>
  <si>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</si>
  <si>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</si>
  <si>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</si>
  <si>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</si>
  <si>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</si>
  <si>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</si>
  <si>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</si>
  <si>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</si>
  <si>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</si>
  <si>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</si>
  <si>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</si>
  <si>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</si>
  <si>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</si>
  <si>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</si>
  <si>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</si>
  <si>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</si>
  <si>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</si>
  <si>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</si>
  <si>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</si>
  <si>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</si>
  <si>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</si>
  <si>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</si>
  <si>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</si>
  <si>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</si>
  <si>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</si>
  <si>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</si>
  <si>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</si>
  <si>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</si>
  <si>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</si>
  <si>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</si>
  <si>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</si>
  <si>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</si>
  <si>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</si>
  <si>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</si>
  <si>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</si>
  <si>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</si>
  <si>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</si>
  <si>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</si>
  <si>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</si>
  <si>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</si>
  <si>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</si>
  <si>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</si>
  <si>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</si>
  <si>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</si>
  <si>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</si>
  <si>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</si>
  <si>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</si>
  <si>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</si>
  <si>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</si>
  <si>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</si>
  <si>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</si>
  <si>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</si>
  <si>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</si>
  <si>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</si>
  <si>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</si>
  <si>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</si>
  <si>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</si>
  <si>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</si>
  <si>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</si>
  <si>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</si>
  <si>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</si>
  <si>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</si>
  <si>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</si>
  <si>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</si>
  <si>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</si>
  <si>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</si>
  <si>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</si>
  <si>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</si>
  <si>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</si>
  <si>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</si>
  <si>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</si>
  <si>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</si>
  <si>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</si>
  <si>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</si>
  <si>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</si>
  <si>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</si>
  <si>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</si>
  <si>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</si>
  <si>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</si>
  <si>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</si>
  <si>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</si>
  <si>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</si>
  <si>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</si>
  <si>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</si>
  <si>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</si>
  <si>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</si>
  <si>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</si>
  <si>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</si>
  <si>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</si>
  <si>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</si>
  <si>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</si>
  <si>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</si>
  <si>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</si>
  <si>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</si>
  <si>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</si>
  <si>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</si>
  <si>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</si>
  <si>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</si>
  <si>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</si>
  <si>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</si>
  <si>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</si>
  <si>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</si>
  <si>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</si>
  <si>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</si>
  <si>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</si>
  <si>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</si>
  <si>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</si>
  <si>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</si>
  <si>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</si>
  <si>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</si>
  <si>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</si>
  <si>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</si>
  <si>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</si>
  <si>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</si>
  <si>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</si>
  <si>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</si>
  <si>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</si>
  <si>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</si>
  <si>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</si>
  <si>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</si>
  <si>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</si>
  <si>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</si>
  <si>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</si>
  <si>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</si>
  <si>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</si>
  <si>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</si>
  <si>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</si>
  <si>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</si>
  <si>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</si>
  <si>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</si>
  <si>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</si>
  <si>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</si>
  <si>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</si>
  <si>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</si>
  <si>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</si>
  <si>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</si>
  <si>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</si>
  <si>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</si>
  <si>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</si>
  <si>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</si>
  <si>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</si>
  <si>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</si>
  <si>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</si>
  <si>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</si>
  <si>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</si>
  <si>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</si>
  <si>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</si>
  <si>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</si>
  <si>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</si>
  <si>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</si>
  <si>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</si>
  <si>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</si>
  <si>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</si>
  <si>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</si>
  <si>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</si>
  <si>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</si>
  <si>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</si>
  <si>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</si>
  <si>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</si>
  <si>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</si>
  <si>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</si>
  <si>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</si>
  <si>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</si>
  <si>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</si>
  <si>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</si>
  <si>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</si>
  <si>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</si>
  <si>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</si>
  <si>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</si>
  <si>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</si>
  <si>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</si>
  <si>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</si>
  <si>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</si>
  <si>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</si>
  <si>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</si>
  <si>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</si>
  <si>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</si>
  <si>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</si>
  <si>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</si>
  <si>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</si>
  <si>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</si>
  <si>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</si>
  <si>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</si>
  <si>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</si>
  <si>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</si>
  <si>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</si>
  <si>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</si>
  <si>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</si>
  <si>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</si>
  <si>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</si>
  <si>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</si>
  <si>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</si>
  <si>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</si>
  <si>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</si>
  <si>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</si>
  <si>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</si>
  <si>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</si>
  <si>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</si>
  <si>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</si>
  <si>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</si>
  <si>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</si>
  <si>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</si>
  <si>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</si>
  <si>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</si>
  <si>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</si>
  <si>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</si>
  <si>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</si>
  <si>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</si>
  <si>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</si>
  <si>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</si>
  <si>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</si>
  <si>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</si>
  <si>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</si>
  <si>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</si>
  <si>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</si>
  <si>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</si>
  <si>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</si>
  <si>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</si>
  <si>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</si>
  <si>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</si>
  <si>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</si>
  <si>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</si>
  <si>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</si>
  <si>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</si>
  <si>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</si>
  <si>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</si>
  <si>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</si>
  <si>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</si>
  <si>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</si>
  <si>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</si>
  <si>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</si>
  <si>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</si>
  <si>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</si>
  <si>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</si>
  <si>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</si>
  <si>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</si>
  <si>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</si>
  <si>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</si>
  <si>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</si>
  <si>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</si>
  <si>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</si>
  <si>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</si>
  <si>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</si>
  <si>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</si>
  <si>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</si>
  <si>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</si>
  <si>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</si>
  <si>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</si>
  <si>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</si>
  <si>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</si>
  <si>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</si>
  <si>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</si>
  <si>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</si>
  <si>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</si>
  <si>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</si>
  <si>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</si>
  <si>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ASTURIAS</t>
  </si>
  <si>
    <t>Provincias</t>
  </si>
  <si>
    <t>Resumenes por Partidos Judiciales</t>
  </si>
  <si>
    <t>LAVIANA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</si>
</sst>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F4EB5aGuhj+ZSFTUQP35jm9bHZbK62JA65B8i40UGfjLI9p9ptdU+O2YfsPVtle66iN2xjzENUah5LVJGn6lA==" saltValue="PizztAx0Gnu+FzQH6XKrF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v>
      </c>
      <c r="D10" s="225">
        <f>IF(ISNUMBER(Datos!I10),Datos!I10," - ")</f>
        <v>13</v>
      </c>
      <c r="E10" s="226">
        <f>IF(ISNUMBER(Datos!J10),Datos!J10," - ")</f>
        <v>2</v>
      </c>
      <c r="F10" s="226">
        <f>IF(ISNUMBER(Datos!K10),Datos!K10," - ")</f>
        <v>15</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42.777777777777779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v>
      </c>
      <c r="D13" s="1049">
        <f>SUBTOTAL(9,D9:D12)</f>
        <v>13</v>
      </c>
      <c r="E13" s="1050">
        <f>SUBTOTAL(9,E9:E12)</f>
        <v>2</v>
      </c>
      <c r="F13" s="1051">
        <f>SUBTOTAL(9,F9:F12)</f>
        <v>15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596</v>
      </c>
      <c r="D16" s="225">
        <f>IF(ISNUMBER(IF(D_I="SI",Datos!I16,Datos!I16+Datos!AC16)),IF(D_I="SI",Datos!I16,Datos!I16+Datos!AC16)," - ")</f>
        <v>594</v>
      </c>
      <c r="E16" s="226">
        <f>IF(ISNUMBER(IF(D_I="SI",Datos!J16,Datos!J16+Datos!AD16)),IF(D_I="SI",Datos!J16,Datos!J16+Datos!AD16)," - ")</f>
        <v>209</v>
      </c>
      <c r="F16" s="226">
        <f>IF(ISNUMBER(IF(D_I="SI",Datos!K16,Datos!K16+Datos!AE16)),IF(D_I="SI",Datos!K16,Datos!K16+Datos!AE16)," - ")</f>
        <v>208</v>
      </c>
      <c r="G16" s="1034" t="str">
        <f>IF(Datos!E16&lt;&gt;"",Datos!E16,Datos!D16)</f>
        <v>04</v>
      </c>
      <c r="H16" s="227">
        <f>IF(ISNUMBER(IF(D_I="SI",Datos!L16,Datos!L16+Datos!AF16)),IF(D_I="SI",Datos!L16,Datos!L16+Datos!AF16)," - ")</f>
        <v>597</v>
      </c>
      <c r="I16" s="1044" t="str">
        <f>IF(ISNUMBER(Datos!AS16/Datos!BM16),Datos!AS16/Datos!BM16," - ")</f>
        <v xml:space="preserve"> - </v>
      </c>
      <c r="J16" s="1045">
        <f>IF(ISNUMBER(Datos!BY16/Datos!CN16),Datos!BY16/Datos!CN16," - ")</f>
        <v>0</v>
      </c>
      <c r="K16" s="230">
        <f t="shared" si="3"/>
        <v>1.6778523489932886E-3</v>
      </c>
      <c r="L16" s="1025">
        <f>IF(ISNUMBER(NºAsuntos!I16/NºAsuntos!G16),(NºAsuntos!I16/NºAsuntos!G16)*11," - ")</f>
        <v>31.572115384615383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76</v>
      </c>
      <c r="D17" s="225">
        <f>IF(ISNUMBER(IF(D_I="SI",Datos!I17,Datos!I17+Datos!AC17)),IF(D_I="SI",Datos!I17,Datos!I17+Datos!AC17)," - ")</f>
        <v>76</v>
      </c>
      <c r="E17" s="226">
        <f>IF(ISNUMBER(IF(D_I="SI",Datos!J17,Datos!J17+Datos!AD17)),IF(D_I="SI",Datos!J17,Datos!J17+Datos!AD17)," - ")</f>
        <v>17</v>
      </c>
      <c r="F17" s="226">
        <f>IF(ISNUMBER(IF(D_I="SI",Datos!K17,Datos!K17+Datos!AE17)),IF(D_I="SI",Datos!K17,Datos!K17+Datos!AE17)," - ")</f>
        <v>30</v>
      </c>
      <c r="G17" s="1034" t="str">
        <f>IF(Datos!E17&lt;&gt;"",Datos!E17,Datos!D17)</f>
        <v>37</v>
      </c>
      <c r="H17" s="227">
        <f>IF(ISNUMBER(IF(D_I="SI",Datos!L17,Datos!L17+Datos!AF17)),IF(D_I="SI",Datos!L17,Datos!L17+Datos!AF17)," - ")</f>
        <v>63</v>
      </c>
      <c r="I17" s="1044" t="str">
        <f>IF(ISNUMBER(Datos!AS17/Datos!BM17),Datos!AS17/Datos!BM17," - ")</f>
        <v xml:space="preserve"> - </v>
      </c>
      <c r="J17" s="1045" t="str">
        <f>IF(ISNUMBER((Datos!BY17+Datos!BZ17)/Datos!CN17),(Datos!BY17+Datos!BZ17)/Datos!CN17," - ")</f>
        <v xml:space="preserve"> - </v>
      </c>
      <c r="K17" s="230">
        <f t="shared" si="3"/>
        <v>-0.17105263157894737</v>
      </c>
      <c r="L17" s="1025">
        <f>IF(ISNUMBER(NºAsuntos!I17/NºAsuntos!G17),(NºAsuntos!I17/NºAsuntos!G17)*11," - ")</f>
        <v>23.1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672</v>
      </c>
      <c r="D18" s="1049">
        <f>SUBTOTAL(9,D15:D17)</f>
        <v>670</v>
      </c>
      <c r="E18" s="1050">
        <f>SUBTOTAL(9,E15:E17)</f>
        <v>226</v>
      </c>
      <c r="F18" s="1050">
        <f>SUBTOTAL(9,F15:F17)</f>
        <v>238</v>
      </c>
      <c r="G18" s="1052" t="str">
        <f ca="1">INDIRECT(CONCATENATE("G",ROW()-1))</f>
        <v>37</v>
      </c>
      <c r="H18" s="1053">
        <f ca="1">SUMIF(G$14:G17,G18,H$14:H17)</f>
        <v>63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685</v>
      </c>
      <c r="D19" s="1071">
        <f>SUBTOTAL(9,D9:D18)</f>
        <v>683</v>
      </c>
      <c r="E19" s="1072">
        <f>SUBTOTAL(9,E9:E18)</f>
        <v>228</v>
      </c>
      <c r="F19" s="1072">
        <f>SUBTOTAL(9,F9:F18)</f>
        <v>253</v>
      </c>
      <c r="G19" s="1073"/>
      <c r="H19" s="1074">
        <f ca="1">SUMIF(B9:B18,"TOTAL",H9:H18)</f>
        <v>63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H48slL7AO8gPNAIZ13g+PZ6dFMMlT0MSiOir+SOrHBIUcOEBWjA4MIxqIH6Kq4Qbz4RhIziUaM7RvrzTEwzxMQ==" saltValue="0yGatyIENzSLzlLRKQ1NK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CNOgQ4HMPomE8au0X+kQLyjzg7EO2SsMTdHUpS/IrLcUA5fz/g5GwuTugA72DDF91LdtexKqPaMmTSbM7ymoQ==" saltValue="BzWwaiAcujGpCYNiLXMIu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v>
      </c>
      <c r="J10" s="181">
        <v>2</v>
      </c>
      <c r="K10" s="181">
        <v>15</v>
      </c>
      <c r="L10" s="181">
        <v>0</v>
      </c>
      <c r="M10" s="181">
        <v>9</v>
      </c>
      <c r="N10" s="181">
        <v>1</v>
      </c>
      <c r="O10" s="181">
        <v>0</v>
      </c>
      <c r="P10" s="181">
        <v>0</v>
      </c>
      <c r="Q10" s="181">
        <v>0</v>
      </c>
      <c r="R10" s="181">
        <v>0</v>
      </c>
      <c r="S10" s="181">
        <v>8</v>
      </c>
      <c r="T10" s="181">
        <v>4</v>
      </c>
      <c r="U10" s="181">
        <v>0</v>
      </c>
      <c r="V10" s="181">
        <v>12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8</v>
      </c>
      <c r="AZ10" s="129">
        <f t="shared" si="0"/>
        <v>4</v>
      </c>
      <c r="BA10" s="129">
        <f t="shared" si="0"/>
        <v>0</v>
      </c>
      <c r="BB10" s="129">
        <f t="shared" si="0"/>
        <v>12</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1122</v>
      </c>
      <c r="J12" s="183">
        <v>552</v>
      </c>
      <c r="K12" s="183">
        <v>312</v>
      </c>
      <c r="L12" s="183">
        <v>1362</v>
      </c>
      <c r="M12" s="183">
        <v>76</v>
      </c>
      <c r="N12" s="183">
        <v>73</v>
      </c>
      <c r="O12" s="181">
        <v>131</v>
      </c>
      <c r="P12" s="183">
        <v>109</v>
      </c>
      <c r="Q12" s="183">
        <v>49</v>
      </c>
      <c r="R12" s="183">
        <v>1340</v>
      </c>
      <c r="S12" s="183">
        <v>986</v>
      </c>
      <c r="T12" s="183">
        <v>345</v>
      </c>
      <c r="U12" s="183">
        <v>269</v>
      </c>
      <c r="V12" s="183">
        <v>1063</v>
      </c>
      <c r="W12" s="183">
        <v>94</v>
      </c>
      <c r="X12" s="189">
        <v>88</v>
      </c>
      <c r="Y12" s="191">
        <v>62</v>
      </c>
      <c r="Z12" s="181">
        <v>24</v>
      </c>
      <c r="AA12" s="181">
        <v>48</v>
      </c>
      <c r="AB12" s="181">
        <v>38</v>
      </c>
      <c r="AC12" s="183">
        <v>0</v>
      </c>
      <c r="AD12" s="183">
        <v>0</v>
      </c>
      <c r="AE12" s="183">
        <v>0</v>
      </c>
      <c r="AF12" s="189">
        <v>0</v>
      </c>
      <c r="AG12" s="202">
        <v>50</v>
      </c>
      <c r="AH12" s="183">
        <v>31</v>
      </c>
      <c r="AI12" s="183">
        <v>21</v>
      </c>
      <c r="AJ12" s="203">
        <v>60</v>
      </c>
      <c r="AK12" s="182">
        <v>0</v>
      </c>
      <c r="AL12" s="183">
        <v>0</v>
      </c>
      <c r="AM12" s="183">
        <v>0</v>
      </c>
      <c r="AN12" s="189">
        <v>0</v>
      </c>
      <c r="AO12" s="259">
        <v>2</v>
      </c>
      <c r="AP12" s="155">
        <v>2</v>
      </c>
      <c r="AQ12" s="155">
        <v>2</v>
      </c>
      <c r="AR12" s="154">
        <v>2</v>
      </c>
      <c r="AS12" s="340" t="s">
        <v>801</v>
      </c>
      <c r="AT12" s="203"/>
      <c r="AU12" s="202"/>
      <c r="AV12" s="203"/>
      <c r="AW12" s="202"/>
      <c r="AX12" s="203"/>
      <c r="AY12" s="126">
        <f t="shared" si="1"/>
        <v>1036</v>
      </c>
      <c r="AZ12" s="127">
        <f t="shared" si="1"/>
        <v>376</v>
      </c>
      <c r="BA12" s="127">
        <f t="shared" si="1"/>
        <v>290</v>
      </c>
      <c r="BB12" s="127">
        <f t="shared" si="1"/>
        <v>1123</v>
      </c>
      <c r="BC12" s="125">
        <f>IF(ISNUMBER(X12),X12," - ")</f>
        <v>88</v>
      </c>
      <c r="BD12" s="126">
        <f t="shared" si="2"/>
        <v>0.77127659574468088</v>
      </c>
      <c r="BE12" s="127">
        <f t="shared" si="3"/>
        <v>3.8724137931034481</v>
      </c>
      <c r="BF12" s="127">
        <f t="shared" si="4"/>
        <v>0.30344827586206896</v>
      </c>
      <c r="BG12" s="196">
        <f t="shared" si="5"/>
        <v>4.8689655172413797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1135</v>
      </c>
      <c r="J13" s="184">
        <f t="shared" si="6"/>
        <v>554</v>
      </c>
      <c r="K13" s="184">
        <f t="shared" si="6"/>
        <v>327</v>
      </c>
      <c r="L13" s="184">
        <f t="shared" si="6"/>
        <v>1362</v>
      </c>
      <c r="M13" s="184">
        <f t="shared" si="6"/>
        <v>85</v>
      </c>
      <c r="N13" s="184">
        <f t="shared" si="6"/>
        <v>74</v>
      </c>
      <c r="O13" s="184">
        <f t="shared" si="6"/>
        <v>131</v>
      </c>
      <c r="P13" s="184">
        <f t="shared" si="6"/>
        <v>109</v>
      </c>
      <c r="Q13" s="184">
        <f t="shared" si="6"/>
        <v>49</v>
      </c>
      <c r="R13" s="184">
        <f t="shared" si="6"/>
        <v>1340</v>
      </c>
      <c r="S13" s="184">
        <f t="shared" si="6"/>
        <v>994</v>
      </c>
      <c r="T13" s="184">
        <f t="shared" si="6"/>
        <v>349</v>
      </c>
      <c r="U13" s="184">
        <f t="shared" si="6"/>
        <v>269</v>
      </c>
      <c r="V13" s="184">
        <f t="shared" si="6"/>
        <v>1075</v>
      </c>
      <c r="W13" s="184">
        <f t="shared" si="6"/>
        <v>94</v>
      </c>
      <c r="X13" s="184">
        <f t="shared" si="6"/>
        <v>88</v>
      </c>
      <c r="Y13" s="184">
        <f t="shared" si="6"/>
        <v>62</v>
      </c>
      <c r="Z13" s="184">
        <f t="shared" si="6"/>
        <v>24</v>
      </c>
      <c r="AA13" s="184">
        <f t="shared" si="6"/>
        <v>48</v>
      </c>
      <c r="AB13" s="184">
        <f t="shared" si="6"/>
        <v>38</v>
      </c>
      <c r="AC13" s="184">
        <f t="shared" si="6"/>
        <v>0</v>
      </c>
      <c r="AD13" s="184">
        <f t="shared" si="6"/>
        <v>0</v>
      </c>
      <c r="AE13" s="184">
        <f t="shared" si="6"/>
        <v>0</v>
      </c>
      <c r="AF13" s="184">
        <f>SUBTOTAL(9,AF9:AF12)</f>
        <v>0</v>
      </c>
      <c r="AG13" s="184">
        <f t="shared" ref="AG13:AT13" si="7">SUBTOTAL(9,AG8:AG12)</f>
        <v>50</v>
      </c>
      <c r="AH13" s="184">
        <f t="shared" si="7"/>
        <v>31</v>
      </c>
      <c r="AI13" s="184">
        <f t="shared" si="7"/>
        <v>21</v>
      </c>
      <c r="AJ13" s="184">
        <f t="shared" si="7"/>
        <v>60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1044</v>
      </c>
      <c r="AZ13" s="184">
        <f>SUBTOTAL(9,AZ8:AZ12)</f>
        <v>380</v>
      </c>
      <c r="BA13" s="184">
        <f>SUBTOTAL(9,BA8:BA12)</f>
        <v>290</v>
      </c>
      <c r="BB13" s="184">
        <f>SUBTOTAL(9,BB8:BB12)</f>
        <v>1135</v>
      </c>
      <c r="BC13" s="184">
        <f>SUBTOTAL(9,BC8:BC12)</f>
        <v>88</v>
      </c>
      <c r="BD13" s="205">
        <f>IF(ISNUMBER(BA13/AZ13),BA13/AZ13," - ")</f>
        <v>0.76315789473684215</v>
      </c>
      <c r="BE13" s="206">
        <f>IF(ISNUMBER(BB13/BA13),BB13/BA13, " - ")</f>
        <v>3.9137931034482758</v>
      </c>
      <c r="BF13" s="206">
        <f>IF(ISNUMBER(BC13/BA13),BC13/BA13, " - ")</f>
        <v>0.30344827586206896</v>
      </c>
      <c r="BG13" s="207">
        <f>IF(ISNUMBER((AY13+AZ13)/BA13),(AY13+AZ13)/BA13," - ")</f>
        <v>4.9103448275862069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594</v>
      </c>
      <c r="J16" s="183">
        <v>209</v>
      </c>
      <c r="K16" s="183">
        <v>208</v>
      </c>
      <c r="L16" s="183">
        <v>597</v>
      </c>
      <c r="M16" s="183">
        <v>38</v>
      </c>
      <c r="N16" s="183">
        <v>130</v>
      </c>
      <c r="O16" s="181">
        <v>4</v>
      </c>
      <c r="P16" s="183">
        <v>25</v>
      </c>
      <c r="Q16" s="183">
        <v>6</v>
      </c>
      <c r="R16" s="183">
        <v>68</v>
      </c>
      <c r="S16" s="183">
        <v>412</v>
      </c>
      <c r="T16" s="183">
        <v>324</v>
      </c>
      <c r="U16" s="183">
        <v>252</v>
      </c>
      <c r="V16" s="183">
        <v>487</v>
      </c>
      <c r="W16" s="183">
        <v>39</v>
      </c>
      <c r="X16" s="189">
        <v>97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412</v>
      </c>
      <c r="AZ16" s="127">
        <f t="shared" si="9"/>
        <v>324</v>
      </c>
      <c r="BA16" s="127">
        <f t="shared" si="9"/>
        <v>252</v>
      </c>
      <c r="BB16" s="127">
        <f t="shared" si="9"/>
        <v>487</v>
      </c>
      <c r="BC16" s="125">
        <f>IF(ISNUMBER(W16),W16," - ")</f>
        <v>39</v>
      </c>
      <c r="BD16" s="126">
        <f t="shared" ref="BD16" si="11">IF(ISNUMBER(BA16/AZ16),BA16/AZ16," - ")</f>
        <v>0.77777777777777779</v>
      </c>
      <c r="BE16" s="127">
        <f t="shared" ref="BE16" si="12">IF(ISNUMBER(BB16/BA16),BB16/BA16, " - ")</f>
        <v>1.9325396825396826</v>
      </c>
      <c r="BF16" s="127">
        <f t="shared" ref="BF16" si="13">IF(ISNUMBER(BC16/BA16),BC16/BA16, " - ")</f>
        <v>0.15476190476190477</v>
      </c>
      <c r="BG16" s="196">
        <f t="shared" si="10"/>
        <v>2.9206349206349205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76</v>
      </c>
      <c r="J17" s="183">
        <v>17</v>
      </c>
      <c r="K17" s="183">
        <v>30</v>
      </c>
      <c r="L17" s="183">
        <v>63</v>
      </c>
      <c r="M17" s="183">
        <v>9</v>
      </c>
      <c r="N17" s="183">
        <v>9</v>
      </c>
      <c r="O17" s="183">
        <v>0</v>
      </c>
      <c r="P17" s="183">
        <v>0</v>
      </c>
      <c r="Q17" s="183">
        <v>0</v>
      </c>
      <c r="R17" s="183">
        <v>0</v>
      </c>
      <c r="S17" s="183">
        <v>45</v>
      </c>
      <c r="T17" s="183">
        <v>42</v>
      </c>
      <c r="U17" s="183">
        <v>26</v>
      </c>
      <c r="V17" s="183">
        <v>61</v>
      </c>
      <c r="W17" s="183">
        <v>5</v>
      </c>
      <c r="X17" s="189">
        <v>21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45</v>
      </c>
      <c r="AZ17" s="129">
        <f t="shared" si="14"/>
        <v>42</v>
      </c>
      <c r="BA17" s="129">
        <f t="shared" si="14"/>
        <v>26</v>
      </c>
      <c r="BB17" s="129">
        <f t="shared" si="14"/>
        <v>61</v>
      </c>
      <c r="BC17" s="125">
        <f>IF(ISNUMBER(W17),W17," - ")</f>
        <v>5</v>
      </c>
      <c r="BD17" s="126">
        <f>IF(ISNUMBER(BA17/AZ17),BA17/AZ17," - ")</f>
        <v>0.61904761904761907</v>
      </c>
      <c r="BE17" s="127">
        <f>IF(ISNUMBER(BB17/BA17),BB17/BA17, " - ")</f>
        <v>2.3461538461538463</v>
      </c>
      <c r="BF17" s="127">
        <f>IF(ISNUMBER(BC17/BA17),BC17/BA17, " - ")</f>
        <v>0.19230769230769232</v>
      </c>
      <c r="BG17" s="196">
        <f>IF(ISNUMBER((AY17+AZ17)/BA17),(AY17+AZ17)/BA17," - ")</f>
        <v>3.3461538461538463</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670</v>
      </c>
      <c r="J18" s="184">
        <f t="shared" si="15"/>
        <v>226</v>
      </c>
      <c r="K18" s="184">
        <f t="shared" si="15"/>
        <v>238</v>
      </c>
      <c r="L18" s="184">
        <f t="shared" si="15"/>
        <v>660</v>
      </c>
      <c r="M18" s="184">
        <f t="shared" si="15"/>
        <v>47</v>
      </c>
      <c r="N18" s="184">
        <f t="shared" si="15"/>
        <v>139</v>
      </c>
      <c r="O18" s="184">
        <f t="shared" si="15"/>
        <v>4</v>
      </c>
      <c r="P18" s="184">
        <f t="shared" si="15"/>
        <v>25</v>
      </c>
      <c r="Q18" s="184">
        <f t="shared" si="15"/>
        <v>6</v>
      </c>
      <c r="R18" s="184">
        <f t="shared" si="15"/>
        <v>68</v>
      </c>
      <c r="S18" s="184">
        <f t="shared" si="15"/>
        <v>457</v>
      </c>
      <c r="T18" s="184">
        <f t="shared" si="15"/>
        <v>366</v>
      </c>
      <c r="U18" s="184">
        <f t="shared" si="15"/>
        <v>278</v>
      </c>
      <c r="V18" s="184">
        <f t="shared" si="15"/>
        <v>548</v>
      </c>
      <c r="W18" s="184">
        <f t="shared" si="15"/>
        <v>44</v>
      </c>
      <c r="X18" s="184">
        <f t="shared" si="15"/>
        <v>118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457</v>
      </c>
      <c r="AZ18" s="184">
        <f>SUBTOTAL(9,AZ14:AZ17)</f>
        <v>366</v>
      </c>
      <c r="BA18" s="184">
        <f>SUBTOTAL(9,BA14:BA17)</f>
        <v>278</v>
      </c>
      <c r="BB18" s="184">
        <f>SUBTOTAL(9,BB14:BB17)</f>
        <v>548</v>
      </c>
      <c r="BC18" s="184">
        <f>SUBTOTAL(9,BC14:BC17)</f>
        <v>44</v>
      </c>
      <c r="BD18" s="205">
        <f>IF(ISNUMBER(BA18/AZ18),BA18/AZ18," - ")</f>
        <v>0.7595628415300546</v>
      </c>
      <c r="BE18" s="206">
        <f>IF(ISNUMBER(BB18/BA18),BB18/BA18, " - ")</f>
        <v>1.9712230215827338</v>
      </c>
      <c r="BF18" s="206">
        <f>IF(ISNUMBER(BC18/BA18),BC18/BA18, " - ")</f>
        <v>0.15827338129496402</v>
      </c>
      <c r="BG18" s="207">
        <f>IF(ISNUMBER((AY18+AZ18)/BA18),(AY18+AZ18)/BA18," - ")</f>
        <v>2.9604316546762588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1805</v>
      </c>
      <c r="J19" s="134">
        <f t="shared" si="18"/>
        <v>780</v>
      </c>
      <c r="K19" s="134">
        <f t="shared" si="18"/>
        <v>565</v>
      </c>
      <c r="L19" s="134">
        <f t="shared" si="18"/>
        <v>2022</v>
      </c>
      <c r="M19" s="134">
        <f t="shared" si="18"/>
        <v>132</v>
      </c>
      <c r="N19" s="134">
        <f t="shared" si="18"/>
        <v>213</v>
      </c>
      <c r="O19" s="134">
        <f t="shared" si="18"/>
        <v>135</v>
      </c>
      <c r="P19" s="134">
        <f t="shared" si="18"/>
        <v>134</v>
      </c>
      <c r="Q19" s="134">
        <f t="shared" si="18"/>
        <v>55</v>
      </c>
      <c r="R19" s="134">
        <f t="shared" si="18"/>
        <v>1408</v>
      </c>
      <c r="S19" s="134">
        <f t="shared" si="18"/>
        <v>1451</v>
      </c>
      <c r="T19" s="134">
        <f t="shared" si="18"/>
        <v>715</v>
      </c>
      <c r="U19" s="134">
        <f t="shared" si="18"/>
        <v>547</v>
      </c>
      <c r="V19" s="134">
        <f t="shared" si="18"/>
        <v>1623</v>
      </c>
      <c r="W19" s="134">
        <f t="shared" si="18"/>
        <v>138</v>
      </c>
      <c r="X19" s="134">
        <f t="shared" si="18"/>
        <v>206</v>
      </c>
      <c r="Y19" s="134">
        <f t="shared" si="18"/>
        <v>62</v>
      </c>
      <c r="Z19" s="134">
        <f t="shared" si="18"/>
        <v>24</v>
      </c>
      <c r="AA19" s="134">
        <f t="shared" si="18"/>
        <v>48</v>
      </c>
      <c r="AB19" s="134">
        <f t="shared" si="18"/>
        <v>38</v>
      </c>
      <c r="AC19" s="134">
        <f t="shared" si="18"/>
        <v>0</v>
      </c>
      <c r="AD19" s="134">
        <f t="shared" si="18"/>
        <v>0</v>
      </c>
      <c r="AE19" s="134">
        <f t="shared" si="18"/>
        <v>0</v>
      </c>
      <c r="AF19" s="134">
        <f t="shared" si="18"/>
        <v>0</v>
      </c>
      <c r="AG19" s="134">
        <f t="shared" si="18"/>
        <v>50</v>
      </c>
      <c r="AH19" s="134">
        <f t="shared" si="18"/>
        <v>31</v>
      </c>
      <c r="AI19" s="134">
        <f t="shared" si="18"/>
        <v>21</v>
      </c>
      <c r="AJ19" s="134">
        <f t="shared" si="18"/>
        <v>60</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1501</v>
      </c>
      <c r="AZ19" s="134">
        <f>SUBTOTAL(9,AZ9:AZ18)</f>
        <v>746</v>
      </c>
      <c r="BA19" s="134">
        <f>SUBTOTAL(9,BA9:BA18)</f>
        <v>568</v>
      </c>
      <c r="BB19" s="134">
        <f>SUBTOTAL(9,BB9:BB18)</f>
        <v>1683</v>
      </c>
      <c r="BC19" s="135">
        <f>SUBTOTAL(9,BC9:BC18)</f>
        <v>132</v>
      </c>
      <c r="BD19" s="213">
        <f>IF(ISNUMBER(BA19/AZ19),BA19/AZ19," - ")</f>
        <v>0.76139410187667556</v>
      </c>
      <c r="BE19" s="210">
        <f>IF(ISNUMBER(BB19/BA19),BB19/BA19, " - ")</f>
        <v>2.9630281690140845</v>
      </c>
      <c r="BF19" s="210">
        <f>IF(ISNUMBER(BC19/BA19),BC19/BA19, " - ")</f>
        <v>0.23239436619718309</v>
      </c>
      <c r="BG19" s="135">
        <f>IF(ISNUMBER((AY19+AZ19)/BA19),(AY19+AZ19)/BA19," - ")</f>
        <v>3.9559859154929575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2SWz+7fyNr5H1WRD4nY55J6sbZdbjCb0CFpb5SopUT1LLMBWQFRbqBO9GdmeX4kpLIrvUnbyXqyzcnloyxsNA==" saltValue="afzJsgywq/pD0vIOnnJNm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WhfbGAsl7//Xm4bKD6BPklAgjOERhpXUtaOFwVv2Q4u7JrEgDNVrioCHLZ+PkURJSo6sn/6BdiucCo0V86GlQ==" saltValue="S/0PWWnUP0+x19c5wN0+E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LAVIANA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v>
      </c>
      <c r="G10" s="333">
        <f>IF(ISNUMBER(Datos!I10),Datos!I10," - ")</f>
        <v>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1</v>
      </c>
      <c r="BE10" s="229" t="str">
        <f>IF(ISNUMBER(Datos!BW10),Datos!BW10," - ")</f>
        <v xml:space="preserve"> - </v>
      </c>
      <c r="BF10" s="228" t="str">
        <f>IF(ISNUMBER(Datos!BX10),Datos!BX10," - ")</f>
        <v xml:space="preserve"> - </v>
      </c>
      <c r="BG10" s="243">
        <f>IF(ISNUMBER(Datos!K10/Datos!J10),Datos!K10/Datos!J10," - ")</f>
        <v>7.5</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24</v>
      </c>
      <c r="O12" s="334"/>
      <c r="P12" s="334"/>
      <c r="Q12" s="226">
        <f>IF(ISNUMBER(Datos!P12),Datos!P12,0)</f>
        <v>109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38</v>
      </c>
      <c r="AI12" s="334" t="str">
        <f>IF(ISNUMBER(Datos!CD12),Datos!CD12,"-")</f>
        <v>-</v>
      </c>
      <c r="AJ12" s="334" t="str">
        <f>IF(ISNUMBER(Datos!EN12),Datos!EN12," - ")</f>
        <v xml:space="preserve"> - </v>
      </c>
      <c r="AK12" s="334"/>
      <c r="AL12" s="479"/>
      <c r="AM12" s="335">
        <f>IF(ISNUMBER(Datos!R12),Datos!R12," - ")</f>
        <v>1340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76</v>
      </c>
      <c r="BD12" s="229">
        <f>IF(ISNUMBER(Datos!N12),Datos!N12," - ")</f>
        <v>73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0.625</v>
      </c>
      <c r="BH12" s="260">
        <f>IF(ISNUMBER(((IF(J_V="SI",Datos!L12/Datos!K12,(Datos!L12+Datos!AB12)/(Datos!K12+Datos!AA12)))*11)/factor_trimestre),((IF(J_V="SI",Datos!L12/Datos!K12,(Datos!L12+Datos!AB12)/(Datos!K12+Datos!AA12)))*11)/factor_trimestre," - ")</f>
        <v>11.666666666666668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4.6875E-2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13</v>
      </c>
      <c r="G13" s="898">
        <f t="shared" si="0"/>
        <v>13</v>
      </c>
      <c r="H13" s="899">
        <f t="shared" si="0"/>
        <v>0</v>
      </c>
      <c r="I13" s="898">
        <f t="shared" si="0"/>
        <v>0</v>
      </c>
      <c r="J13" s="867">
        <f t="shared" si="0"/>
        <v>0</v>
      </c>
      <c r="K13" s="867">
        <f t="shared" si="0"/>
        <v>0</v>
      </c>
      <c r="L13" s="899">
        <f t="shared" si="0"/>
        <v>0</v>
      </c>
      <c r="M13" s="899">
        <f t="shared" si="0"/>
        <v>0</v>
      </c>
      <c r="N13" s="899">
        <f t="shared" si="0"/>
        <v>24</v>
      </c>
      <c r="O13" s="900">
        <f t="shared" si="0"/>
        <v>0</v>
      </c>
      <c r="P13" s="900">
        <f t="shared" si="0"/>
        <v>0</v>
      </c>
      <c r="Q13" s="899">
        <f t="shared" si="0"/>
        <v>109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v>
      </c>
      <c r="AC13" s="899">
        <f t="shared" si="1"/>
        <v>49</v>
      </c>
      <c r="AD13" s="899">
        <f t="shared" si="1"/>
        <v>0</v>
      </c>
      <c r="AE13" s="899">
        <f t="shared" si="1"/>
        <v>0</v>
      </c>
      <c r="AF13" s="899">
        <f t="shared" si="1"/>
        <v>0</v>
      </c>
      <c r="AG13" s="899">
        <f t="shared" si="1"/>
        <v>0</v>
      </c>
      <c r="AH13" s="899">
        <f t="shared" si="1"/>
        <v>38</v>
      </c>
      <c r="AI13" s="899">
        <f t="shared" si="1"/>
        <v>0</v>
      </c>
      <c r="AJ13" s="899">
        <f t="shared" si="1"/>
        <v>0</v>
      </c>
      <c r="AK13" s="899">
        <f t="shared" si="1"/>
        <v>0</v>
      </c>
      <c r="AL13" s="899">
        <f t="shared" si="1"/>
        <v>0</v>
      </c>
      <c r="AM13" s="899">
        <f t="shared" si="1"/>
        <v>1340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85</v>
      </c>
      <c r="BD13" s="899">
        <f t="shared" si="1"/>
        <v>74</v>
      </c>
      <c r="BE13" s="899">
        <f t="shared" si="1"/>
        <v>0</v>
      </c>
      <c r="BF13" s="899">
        <f t="shared" si="1"/>
        <v>0</v>
      </c>
      <c r="BG13" s="899">
        <f>IF(ISNUMBER(Datos!K13/Datos!J13),Datos!K13/Datos!J13," - ")</f>
        <v>0.59025270758122739</v>
      </c>
      <c r="BH13" s="903">
        <f>IF(ISNUMBER(((Datos!L13/Datos!K13)*11)/factor_trimestre),((Datos!L13/Datos!K13)*11)/factor_trimestre," - ")</f>
        <v>12.4954128440367</v>
      </c>
      <c r="BI13" s="899">
        <f>IF(ISNUMBER('Resol  Asuntos'!D13/NºAsuntos!G13),'Resol  Asuntos'!D13/NºAsuntos!G13," - ")</f>
        <v>0.22666666666666666</v>
      </c>
      <c r="BJ13" s="899" t="str">
        <f>IF(ISNUMBER(Datos!CI13/Datos!CJ13),Datos!CI13/Datos!CJ13," - ")</f>
        <v xml:space="preserve"> - </v>
      </c>
      <c r="BK13" s="899">
        <f>SUBTOTAL(9,BK8:BK12)</f>
        <v>0</v>
      </c>
      <c r="BL13" s="899">
        <f>IF(ISNUMBER((I13-AB13+L13)/(F13)),(I13-AB13+L13)/(F13)," - ")</f>
        <v>-1.1538461538461537</v>
      </c>
      <c r="BM13" s="904">
        <f>SUBTOTAL(9,BM9:BM12)</f>
        <v>4.6875E-2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596</v>
      </c>
      <c r="G16" s="598">
        <f>IF(ISNUMBER(IF(D_I="SI",Datos!I16,Datos!I16+Datos!AC16)),IF(D_I="SI",Datos!I16,Datos!I16+Datos!AC16)," - ")</f>
        <v>594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208</v>
      </c>
      <c r="AC16" s="226">
        <f>IF(ISNUMBER(Datos!Q16),Datos!Q16," - ")</f>
        <v>6</v>
      </c>
      <c r="AD16" s="334"/>
      <c r="AE16" s="484"/>
      <c r="AF16" s="596">
        <f>IF(ISNUMBER(IF(D_I="SI",Datos!L16,Datos!L16+Datos!AF16)),IF(D_I="SI",Datos!L16,Datos!L16+Datos!AF16)," - ")</f>
        <v>597</v>
      </c>
      <c r="AG16" s="334"/>
      <c r="AH16" s="334"/>
      <c r="AI16" s="334"/>
      <c r="AJ16" s="334"/>
      <c r="AK16" s="334"/>
      <c r="AL16" s="479"/>
      <c r="AM16" s="335">
        <f>IF(ISNUMBER(Datos!R16),Datos!R16," - ")</f>
        <v>68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38</v>
      </c>
      <c r="BD16" s="229">
        <f>IF(ISNUMBER(Datos!N16),Datos!N16," - ")</f>
        <v>130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0.99521531100478466</v>
      </c>
      <c r="BH16" s="260">
        <f>IF(ISNUMBER(((IF(D_I="SI",Datos!L16/Datos!K16,(Datos!L16+Datos!AF16)/(Datos!K16+Datos!AE16)))*11)/factor_trimestre),((IF(D_I="SI",Datos!L16/Datos!K16,(Datos!L16+Datos!AF16)/(Datos!K16+Datos!AE16)))*11)/factor_trimestre," - ")</f>
        <v>8.6105769230769234</v>
      </c>
      <c r="BI16" s="243">
        <f>IF(ISNUMBER('Resol  Asuntos'!D16/NºAsuntos!G16),'Resol  Asuntos'!D16/NºAsuntos!G16," - ")</f>
        <v>0.18269230769230768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30</v>
      </c>
      <c r="AC17" s="226">
        <f>IF(ISNUMBER(Datos!Q17),Datos!Q17," - ")</f>
        <v>0</v>
      </c>
      <c r="AD17" s="334"/>
      <c r="AE17" s="484"/>
      <c r="AF17" s="332">
        <f>IF(ISNUMBER(Datos!L17),Datos!L17,"-")</f>
        <v>63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1.7647058823529411</v>
      </c>
      <c r="BH17" s="260">
        <f>IF(ISNUMBER(((IF(D_I="SI",Datos!L17/Datos!K17,(Datos!L17+Datos!AF17)/(Datos!K17+Datos!AE17)))*11)/factor_trimestre),((IF(D_I="SI",Datos!L17/Datos!K17,(Datos!L17+Datos!AF17)/(Datos!K17+Datos!AE17)))*11)/factor_trimestre," - ")</f>
        <v>6.3000000000000007</v>
      </c>
      <c r="BI17" s="243">
        <f>IF(ISNUMBER('Resol  Asuntos'!D17/NºAsuntos!G17),'Resol  Asuntos'!D17/NºAsuntos!G17," - ")</f>
        <v>0.3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596</v>
      </c>
      <c r="G18" s="898">
        <f>SUBTOTAL(9,G15:G17)</f>
        <v>670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238</v>
      </c>
      <c r="AC18" s="899">
        <f t="shared" si="4"/>
        <v>6</v>
      </c>
      <c r="AD18" s="899">
        <f t="shared" si="4"/>
        <v>0</v>
      </c>
      <c r="AE18" s="899">
        <f t="shared" si="4"/>
        <v>0</v>
      </c>
      <c r="AF18" s="899">
        <f t="shared" si="4"/>
        <v>660</v>
      </c>
      <c r="AG18" s="899">
        <f t="shared" si="4"/>
        <v>0</v>
      </c>
      <c r="AH18" s="899">
        <f t="shared" si="4"/>
        <v>0</v>
      </c>
      <c r="AI18" s="899">
        <f t="shared" si="4"/>
        <v>0</v>
      </c>
      <c r="AJ18" s="899">
        <f t="shared" si="4"/>
        <v>0</v>
      </c>
      <c r="AK18" s="899">
        <f t="shared" si="4"/>
        <v>0</v>
      </c>
      <c r="AL18" s="899">
        <f t="shared" si="4"/>
        <v>0</v>
      </c>
      <c r="AM18" s="899">
        <f t="shared" si="4"/>
        <v>68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47</v>
      </c>
      <c r="BD18" s="899">
        <f t="shared" si="4"/>
        <v>139</v>
      </c>
      <c r="BE18" s="899">
        <f t="shared" si="4"/>
        <v>0</v>
      </c>
      <c r="BF18" s="899">
        <f t="shared" si="4"/>
        <v>0</v>
      </c>
      <c r="BG18" s="899">
        <f>IF(ISNUMBER(Datos!K18/Datos!J18),Datos!K18/Datos!J18," - ")</f>
        <v>1.0530973451327434</v>
      </c>
      <c r="BH18" s="903">
        <f>IF(ISNUMBER(((Datos!L18/Datos!K18)*11)/factor_trimestre),((Datos!L18/Datos!K18)*11)/factor_trimestre," - ")</f>
        <v>8.3193277310924376</v>
      </c>
      <c r="BI18" s="899">
        <f>SUBTOTAL(9,BI15:BI17)</f>
        <v>0.48269230769230764</v>
      </c>
      <c r="BJ18" s="899">
        <f>SUBTOTAL(9,BJ15:BJ17)</f>
        <v>0</v>
      </c>
      <c r="BK18" s="899">
        <f>SUBTOTAL(9,BK15:BK17)</f>
        <v>0</v>
      </c>
      <c r="BL18" s="899">
        <f>IF(ISNUMBER((I18-AB18+L18)/(F18)),(I18-AB18+L18)/(F18)," - ")</f>
        <v>-0.39932885906040266</v>
      </c>
      <c r="BM18" s="905">
        <f>IF(ISNUMBER((Datos!P18-Datos!Q18)/(Datos!R18-Datos!P18+Datos!Q18)),(Datos!P18-Datos!Q18)/(Datos!R18-Datos!P18+Datos!Q18)," - ")</f>
        <v>0.38775510204081631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609</v>
      </c>
      <c r="G19" s="820">
        <f t="shared" si="6"/>
        <v>683</v>
      </c>
      <c r="H19" s="822">
        <f t="shared" si="6"/>
        <v>0</v>
      </c>
      <c r="I19" s="820">
        <f t="shared" si="6"/>
        <v>0</v>
      </c>
      <c r="J19" s="822">
        <f t="shared" si="6"/>
        <v>0</v>
      </c>
      <c r="K19" s="822">
        <f t="shared" si="6"/>
        <v>0</v>
      </c>
      <c r="L19" s="881">
        <f t="shared" si="6"/>
        <v>0</v>
      </c>
      <c r="M19" s="881">
        <f t="shared" si="6"/>
        <v>0</v>
      </c>
      <c r="N19" s="881">
        <f t="shared" si="6"/>
        <v>24</v>
      </c>
      <c r="O19" s="881">
        <f t="shared" si="6"/>
        <v>0</v>
      </c>
      <c r="P19" s="881">
        <f t="shared" si="6"/>
        <v>0</v>
      </c>
      <c r="Q19" s="822">
        <f t="shared" si="6"/>
        <v>134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253</v>
      </c>
      <c r="AC19" s="821">
        <f t="shared" si="7"/>
        <v>55</v>
      </c>
      <c r="AD19" s="821">
        <f t="shared" si="7"/>
        <v>0</v>
      </c>
      <c r="AE19" s="821">
        <f t="shared" si="7"/>
        <v>0</v>
      </c>
      <c r="AF19" s="828">
        <f t="shared" si="7"/>
        <v>660</v>
      </c>
      <c r="AG19" s="828">
        <f t="shared" si="7"/>
        <v>0</v>
      </c>
      <c r="AH19" s="828">
        <f t="shared" si="7"/>
        <v>38</v>
      </c>
      <c r="AI19" s="828">
        <f t="shared" si="7"/>
        <v>0</v>
      </c>
      <c r="AJ19" s="821">
        <f t="shared" si="7"/>
        <v>0</v>
      </c>
      <c r="AK19" s="828">
        <f t="shared" si="7"/>
        <v>0</v>
      </c>
      <c r="AL19" s="828">
        <f t="shared" si="7"/>
        <v>0</v>
      </c>
      <c r="AM19" s="828">
        <f t="shared" si="7"/>
        <v>1408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132</v>
      </c>
      <c r="BD19" s="820">
        <f t="shared" si="7"/>
        <v>213</v>
      </c>
      <c r="BE19" s="820">
        <f t="shared" si="7"/>
        <v>0</v>
      </c>
      <c r="BF19" s="830">
        <f t="shared" si="7"/>
        <v>0</v>
      </c>
      <c r="BG19" s="915">
        <f>IF(ISNUMBER(Datos!K19/Datos!J19),Datos!K19/Datos!J19," - ")</f>
        <v>0.72435897435897434</v>
      </c>
      <c r="BH19" s="915">
        <f>IF(ISNUMBER(((Datos!L19/Datos!K19)*11)/factor_trimestre),((Datos!L19/Datos!K19)*11)/factor_trimestre," - ")</f>
        <v>10.736283185840708</v>
      </c>
      <c r="BI19" s="813">
        <f>IF(ISNUMBER(Datos!J19/Datos!I19),Datos!J19/Datos!I19," - ")</f>
        <v>0.43213296398891965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-0.4154351395730706</v>
      </c>
      <c r="BM19" s="889">
        <f>IF(ISNUMBER((Datos!P19-Datos!Q19+R19)/(Datos!R19-Datos!P19+Datos!Q19-R19)),(Datos!P19-Datos!Q19+R19)/(Datos!R19-Datos!P19+Datos!Q19-R19)," - ")</f>
        <v>5.9443190368698266E-2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273.2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336.59520693755184</v>
      </c>
      <c r="G21" s="552">
        <f>IF(ISNUMBER(STDEV(G8:G18)),STDEV(G8:G18),"-")</f>
        <v>329.64329205976571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111.86018058272569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32.249030993194197</v>
      </c>
      <c r="BD21" s="551"/>
      <c r="BE21" s="551">
        <f>IF(ISNUMBER(STDEV(BE8:BE18)),STDEV(BE8:BE18),"-")</f>
        <v>0</v>
      </c>
      <c r="BF21" s="556">
        <f>IF(ISNUMBER(STDEV(BF8:BF18)),STDEV(BF8:BF18),"-")</f>
        <v>0</v>
      </c>
      <c r="BG21" s="775">
        <f>IF(ISNUMBER(STDEV(BG8:BG18)),STDEV(BG8:BG18),"-")</f>
        <v>2.6848866235930418</v>
      </c>
      <c r="BH21" s="776">
        <f>IF(ISNUMBER(STDEV(BH8:BH18)),STDEV(BH8:BH18),"-")</f>
        <v>4.4934695188829838</v>
      </c>
      <c r="BI21" s="249">
        <f>IF(ISNUMBER(STDEV(BI8:BI18)),STDEV(BI8:BI18),"-")</f>
        <v>0.13228700643300492</v>
      </c>
      <c r="BJ21" s="230" t="str">
        <f>IF(ISNUMBER(BL21/BM21),BL21/BM21," - ")</f>
        <v xml:space="preserve"> - </v>
      </c>
      <c r="BK21" s="575"/>
      <c r="BL21" s="559">
        <f>IF(ISNUMBER(STDEV(BL8:BL18)),STDEV(BL8:BL18),"-")</f>
        <v>0.53352429566553372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H3HtNayGQF4rDBOpIYCWYoIMvL22XYOuLX74VaB65tzY4xEGuAn9T1SBM8+eZhHe6hiGAD8ctE4hLVso4HwtAA==" saltValue="CGaiemq1ak9Fny0OJKf1f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LAVIANA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v>
      </c>
      <c r="G10" s="225">
        <f>IF(ISNUMBER(Datos!I10),Datos!I10," - ")</f>
        <v>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9</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49</v>
      </c>
      <c r="AA12" s="332" t="str">
        <f>IF(ISNUMBER(IF(J_V="SI",Datos!L12,Datos!L12+Datos!AB12)-IF(Monitorios="SI",Datos!CD12,0)),
                          IF(J_V="SI",Datos!L12,Datos!L12+Datos!AB12)-IF(Monitorios="SI",Datos!CD12,0),
                          " - ")</f>
        <v xml:space="preserve"> - </v>
      </c>
      <c r="AB12" s="334"/>
      <c r="AC12" s="334"/>
      <c r="AD12" s="484"/>
      <c r="AE12" s="484">
        <f>IF(ISNUMBER(Datos!R12),Datos!R12," - ")</f>
        <v>1340</v>
      </c>
      <c r="AF12" s="229" t="str">
        <f>IF(ISNUMBER(Datos!BV12),Datos!BV12," - ")</f>
        <v xml:space="preserve"> - </v>
      </c>
      <c r="AG12" s="225" t="str">
        <f>IF(ISNUMBER(Datos!DV12),Datos!DV12," - ")</f>
        <v xml:space="preserve"> - </v>
      </c>
      <c r="AH12" s="298"/>
      <c r="AI12" s="227"/>
      <c r="AJ12" s="225">
        <f>IF(ISNUMBER(Datos!M12),Datos!M12," - ")</f>
        <v>76</v>
      </c>
      <c r="AK12" s="229">
        <f>IF(ISNUMBER(Datos!N12),Datos!N12," - ")</f>
        <v>73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11.666666666666668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4.6875E-2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13</v>
      </c>
      <c r="G13" s="898">
        <f>SUBTOTAL(9,G8:G12)</f>
        <v>13</v>
      </c>
      <c r="H13" s="908"/>
      <c r="I13" s="898">
        <f t="shared" ref="I13:N13" si="0">SUBTOTAL(9,I8:I12)</f>
        <v>0</v>
      </c>
      <c r="J13" s="867">
        <f t="shared" si="0"/>
        <v>0</v>
      </c>
      <c r="K13" s="908">
        <f t="shared" si="0"/>
        <v>0</v>
      </c>
      <c r="L13" s="908">
        <f t="shared" si="0"/>
        <v>0</v>
      </c>
      <c r="M13" s="908">
        <f t="shared" si="0"/>
        <v>0</v>
      </c>
      <c r="N13" s="908">
        <f t="shared" si="0"/>
        <v>109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v>
      </c>
      <c r="Z13" s="907">
        <f t="shared" si="2"/>
        <v>49</v>
      </c>
      <c r="AA13" s="900">
        <f t="shared" si="2"/>
        <v>0</v>
      </c>
      <c r="AB13" s="900">
        <f t="shared" si="2"/>
        <v>0</v>
      </c>
      <c r="AC13" s="900">
        <f t="shared" si="2"/>
        <v>0</v>
      </c>
      <c r="AD13" s="900">
        <f t="shared" si="2"/>
        <v>0</v>
      </c>
      <c r="AE13" s="900">
        <f t="shared" si="2"/>
        <v>1340</v>
      </c>
      <c r="AF13" s="908">
        <f t="shared" si="2"/>
        <v>0</v>
      </c>
      <c r="AG13" s="908">
        <f t="shared" si="2"/>
        <v>0</v>
      </c>
      <c r="AH13" s="908">
        <f t="shared" si="2"/>
        <v>0</v>
      </c>
      <c r="AI13" s="908">
        <f t="shared" si="2"/>
        <v>0</v>
      </c>
      <c r="AJ13" s="908">
        <f t="shared" si="2"/>
        <v>85</v>
      </c>
      <c r="AK13" s="908">
        <f t="shared" si="2"/>
        <v>74</v>
      </c>
      <c r="AL13" s="908">
        <f t="shared" si="2"/>
        <v>0</v>
      </c>
      <c r="AM13" s="908">
        <f t="shared" si="2"/>
        <v>0</v>
      </c>
      <c r="AN13" s="908">
        <f t="shared" si="2"/>
        <v>0</v>
      </c>
      <c r="AO13" s="904">
        <f>IF(ISNUMBER(((NºAsuntos!I13/NºAsuntos!G13)*11)/factor_trimestre),((NºAsuntos!I13/NºAsuntos!G13)*11)/factor_trimestre," - ")</f>
        <v>11.200000000000001</v>
      </c>
      <c r="AP13" s="910" t="str">
        <f>IF(ISNUMBER(Datos!CI13/Datos!CJ13),Datos!CI13/Datos!CJ13," - ")</f>
        <v xml:space="preserve"> - </v>
      </c>
      <c r="AQ13" s="928">
        <f t="shared" ref="AQ13:AV13" si="3">SUBTOTAL(9,AQ9:AQ12)</f>
        <v>0</v>
      </c>
      <c r="AR13" s="928">
        <f t="shared" si="3"/>
        <v>4.6875E-2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596</v>
      </c>
      <c r="G16" s="225">
        <f>IF(ISNUMBER(IF(D_I="SI",Datos!I16,Datos!I16+Datos!AC16)),IF(D_I="SI",Datos!I16,Datos!I16+Datos!AC16)," - ")</f>
        <v>594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208</v>
      </c>
      <c r="Z16" s="619">
        <f>IF(ISNUMBER(Datos!Q16),Datos!Q16," - ")</f>
        <v>6</v>
      </c>
      <c r="AA16" s="332">
        <f>IF(ISNUMBER(IF(D_I="SI",Datos!L16,Datos!L16+Datos!AF16)),IF(D_I="SI",Datos!L16,Datos!L16+Datos!AF16)," - ")</f>
        <v>597</v>
      </c>
      <c r="AB16" s="334"/>
      <c r="AC16" s="334"/>
      <c r="AD16" s="484"/>
      <c r="AE16" s="484">
        <f>IF(ISNUMBER(Datos!R16),Datos!R16," - ")</f>
        <v>68</v>
      </c>
      <c r="AF16" s="229" t="str">
        <f>IF(ISNUMBER(Datos!BV16),Datos!BV16," - ")</f>
        <v xml:space="preserve"> - </v>
      </c>
      <c r="AG16" s="225"/>
      <c r="AH16" s="298"/>
      <c r="AI16" s="227"/>
      <c r="AJ16" s="225">
        <f>IF(ISNUMBER(Datos!M16),Datos!M16," - ")</f>
        <v>38</v>
      </c>
      <c r="AK16" s="229">
        <f>IF(ISNUMBER(Datos!N16),Datos!N16," - ")</f>
        <v>130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8.6105769230769234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30</v>
      </c>
      <c r="Z17" s="619">
        <f>IF(ISNUMBER(Datos!Q17),Datos!Q17," - ")</f>
        <v>0</v>
      </c>
      <c r="AA17" s="332">
        <f>IF(ISNUMBER(Datos!L17),Datos!L17,"-")</f>
        <v>63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9</v>
      </c>
      <c r="AK17" s="229">
        <f>IF(ISNUMBER(Datos!N17),Datos!N17," - ")</f>
        <v>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6.3000000000000007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596</v>
      </c>
      <c r="G18" s="898">
        <f>SUBTOTAL(9,G15:G17)</f>
        <v>670</v>
      </c>
      <c r="H18" s="932">
        <f>SUBTOTAL(9,H15:H17)</f>
        <v>0</v>
      </c>
      <c r="I18" s="911">
        <f>SUBTOTAL(9,I15:I17)</f>
        <v>0</v>
      </c>
      <c r="J18" s="867">
        <f>SUBTOTAL(9,J14:J17)</f>
        <v>0</v>
      </c>
      <c r="K18" s="932">
        <f t="shared" ref="K18:S18" si="4">SUBTOTAL(9,K15:K17)</f>
        <v>0</v>
      </c>
      <c r="L18" s="932">
        <f t="shared" si="4"/>
        <v>0</v>
      </c>
      <c r="M18" s="932">
        <f t="shared" si="4"/>
        <v>0</v>
      </c>
      <c r="N18" s="932">
        <f t="shared" si="4"/>
        <v>25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238</v>
      </c>
      <c r="Z18" s="932">
        <f t="shared" si="5"/>
        <v>6</v>
      </c>
      <c r="AA18" s="932">
        <f t="shared" si="5"/>
        <v>660</v>
      </c>
      <c r="AB18" s="932">
        <f t="shared" si="5"/>
        <v>0</v>
      </c>
      <c r="AC18" s="932">
        <f t="shared" si="5"/>
        <v>0</v>
      </c>
      <c r="AD18" s="932">
        <f t="shared" si="5"/>
        <v>0</v>
      </c>
      <c r="AE18" s="932">
        <f t="shared" si="5"/>
        <v>68</v>
      </c>
      <c r="AF18" s="932">
        <f t="shared" si="5"/>
        <v>0</v>
      </c>
      <c r="AG18" s="932">
        <f t="shared" si="5"/>
        <v>0</v>
      </c>
      <c r="AH18" s="932">
        <f t="shared" si="5"/>
        <v>0</v>
      </c>
      <c r="AI18" s="932">
        <f t="shared" si="5"/>
        <v>0</v>
      </c>
      <c r="AJ18" s="932">
        <f t="shared" si="5"/>
        <v>47</v>
      </c>
      <c r="AK18" s="932">
        <f t="shared" si="5"/>
        <v>139</v>
      </c>
      <c r="AL18" s="932">
        <f t="shared" si="5"/>
        <v>0</v>
      </c>
      <c r="AM18" s="932">
        <f t="shared" si="5"/>
        <v>0</v>
      </c>
      <c r="AN18" s="932">
        <f t="shared" si="5"/>
        <v>0</v>
      </c>
      <c r="AO18" s="934">
        <f>IF(ISNUMBER(((NºAsuntos!I18/NºAsuntos!G18)*11)/factor_trimestre),((NºAsuntos!I18/NºAsuntos!G18)*11)/factor_trimestre," - ")</f>
        <v>8.3193277310924376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609</v>
      </c>
      <c r="G19" s="820">
        <f t="shared" si="7"/>
        <v>683</v>
      </c>
      <c r="H19" s="821">
        <f t="shared" si="7"/>
        <v>0</v>
      </c>
      <c r="I19" s="820">
        <f t="shared" si="7"/>
        <v>0</v>
      </c>
      <c r="J19" s="822">
        <f t="shared" si="7"/>
        <v>0</v>
      </c>
      <c r="K19" s="820">
        <f t="shared" si="7"/>
        <v>0</v>
      </c>
      <c r="L19" s="823">
        <f t="shared" si="7"/>
        <v>0</v>
      </c>
      <c r="M19" s="820">
        <f t="shared" si="7"/>
        <v>0</v>
      </c>
      <c r="N19" s="821">
        <f t="shared" si="7"/>
        <v>134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253</v>
      </c>
      <c r="Z19" s="827">
        <f t="shared" si="8"/>
        <v>55</v>
      </c>
      <c r="AA19" s="828">
        <f t="shared" si="8"/>
        <v>660</v>
      </c>
      <c r="AB19" s="828">
        <f t="shared" si="8"/>
        <v>0</v>
      </c>
      <c r="AC19" s="828">
        <f t="shared" si="8"/>
        <v>0</v>
      </c>
      <c r="AD19" s="829">
        <f t="shared" si="8"/>
        <v>0</v>
      </c>
      <c r="AE19" s="829">
        <f t="shared" si="8"/>
        <v>1408</v>
      </c>
      <c r="AF19" s="830">
        <f t="shared" si="8"/>
        <v>0</v>
      </c>
      <c r="AG19" s="831">
        <f t="shared" si="8"/>
        <v>0</v>
      </c>
      <c r="AH19" s="832">
        <f t="shared" si="8"/>
        <v>0</v>
      </c>
      <c r="AI19" s="830">
        <f t="shared" si="8"/>
        <v>0</v>
      </c>
      <c r="AJ19" s="820">
        <f t="shared" si="8"/>
        <v>132</v>
      </c>
      <c r="AK19" s="820">
        <f t="shared" si="8"/>
        <v>213</v>
      </c>
      <c r="AL19" s="820">
        <f t="shared" si="8"/>
        <v>0</v>
      </c>
      <c r="AM19" s="833">
        <f t="shared" si="8"/>
        <v>0</v>
      </c>
      <c r="AN19" s="823">
        <f>IF(ISNUMBER(Datos!K19/Datos!J19),Datos!K19/Datos!J19," - ")</f>
        <v>0.72435897435897434</v>
      </c>
      <c r="AO19" s="823">
        <f>IF(ISNUMBER(FIND("06",Criterios!A8,1)),(IF(ISNUMBER(((Datos!R19/Datos!Q19)*11)/factor_trimestre),((Datos!R19/Datos!Q19)*11)/factor_trimestre," - ")),(IF(ISNUMBER(((Datos!L19/Datos!K19)*11)/factor_trimestre),((Datos!L19/Datos!K19)*11)/factor_trimestre," - ")))</f>
        <v>10.736283185840708</v>
      </c>
      <c r="AP19" s="834" t="str">
        <f>IF(ISNUMBER(Datos!CI19/Datos!CJ19),Datos!CI19/Datos!CJ19," - ")</f>
        <v xml:space="preserve"> - </v>
      </c>
      <c r="AQ19" s="834">
        <f>IF(OR(ISNUMBER(FIND("01",Criterios!A8,1)),ISNUMBER(FIND("02",Criterios!A8,1)),ISNUMBER(FIND("03",Criterios!A8,1)),ISNUMBER(FIND("04",Criterios!A8,1))),(J19-Y19+K19)/(F19-K19),(I19-Y19+K19)/(F19-K19))</f>
        <v>-0.4154351395730706</v>
      </c>
      <c r="AR19" s="834">
        <f>IF(ISNUMBER((Datos!P19-Datos!Q19+O19)/(Datos!R19-Datos!P19+Datos!Q19-O19)),(Datos!P19-Datos!Q19+O19)/(Datos!R19-Datos!P19+Datos!Q19-O19)," - ")</f>
        <v>5.9443190368698266E-2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273.2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336.59520693755184</v>
      </c>
      <c r="G21" s="552">
        <f>IF(ISNUMBER(STDEV(G8:G18)),STDEV(G8:G18),"-")</f>
        <v>329.64329205976571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32.249030993194197</v>
      </c>
      <c r="AK21" s="252"/>
      <c r="AL21" s="252">
        <f>IF(ISNUMBER(STDEV(AL8:AL18)),STDEV(AL8:AL18),"-")</f>
        <v>0</v>
      </c>
      <c r="AM21" s="254">
        <f>IF(ISNUMBER(STDEV(AM8:AM18)),STDEV(AM8:AM18),"-")</f>
        <v>0</v>
      </c>
      <c r="AN21" s="539">
        <f>IF(ISNUMBER(STDEV(AN8:AN18)),STDEV(AN8:AN18),"-")</f>
        <v>0</v>
      </c>
      <c r="AO21" s="540">
        <f>IF(ISNUMBER(STDEV(AO8:AO18)),STDEV(AO8:AO18),"-")</f>
        <v>4.2531254084615444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lXwfb+Y+eh35BKWGLqH6HrsLumlnO4nznAyl6F4NSKImwBbpE/yIVdiiVPrVrdcr0lZVFirdqyDteOJV9gC4vA==" saltValue="/DzUW2J79mQv5VT1e3UMq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yTqkrkQKf6IRg1uVTGoSBxpgC4rpVS/ujin4mXcjcWrtsRZnft1W/JHsqbx4aD+1uqap7Oim1VF0tFvF6en1Q==" saltValue="pGM7KBKvfKy4k0RfGXBHq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U6mgAJ1dPsN7K65QYEllrcXZcFb+UPt4qKOlP7QMtfCRjtjfKTFjcQfpuIkFKy6GsiHzFbgivSSQH+NFhOpRw==" saltValue="cSROCBZJnDsA4zBUH761L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LAVIANA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0.22666666666666666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0.16027753706895076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vr5y4zGfTjklpUijHshgHW3BkgStZPqybUoQGndQowmLhZ1RlMiuOshL6JKlXUedT/3SvedKLJars3SEwCu9vQ==" saltValue="K7cRzeY4227vnqvFQi3ii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lLr9gqoWYKL9khOQrZ7JJ0dQ/w9ebaSIbN2bmczG68LbPBGZWIoPpBv2W9/+sh/7oe5gJNoMZ8olzzyi8iGXdQ==" saltValue="E8Zk1JtQShuzf6PskPsZz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LAVIANA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v>
      </c>
      <c r="D10" s="404">
        <f>IF(ISNUMBER(C10/Datos!BH10),C10/Datos!BH10," - ")</f>
        <v>13</v>
      </c>
      <c r="E10" s="403">
        <f>IF(ISNUMBER(Datos!J10),Datos!J10," - ")</f>
        <v>2</v>
      </c>
      <c r="F10" s="404">
        <f>IF(ISNUMBER(E10/B10),E10/B10," - ")</f>
        <v>2</v>
      </c>
      <c r="G10" s="403">
        <f>IF(ISNUMBER(Datos!K10),Datos!K10," - ")</f>
        <v>15</v>
      </c>
      <c r="H10" s="404">
        <f>IF(ISNUMBER(G10/B10),G10/B10," - ")</f>
        <v>15</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1184</v>
      </c>
      <c r="D12" s="404">
        <f>IF(ISNUMBER(C12/Datos!BH12),C12/Datos!BH12," - ")</f>
        <v>592</v>
      </c>
      <c r="E12" s="403">
        <f>IF(ISNUMBER(IF(J_V="SI",Datos!J12,Datos!J12+Datos!Z12)),IF(J_V="SI",Datos!J12,Datos!J12+Datos!Z12)," - ")</f>
        <v>576</v>
      </c>
      <c r="F12" s="404">
        <f>IF(ISNUMBER(E12/B12),E12/B12," - ")</f>
        <v>288</v>
      </c>
      <c r="G12" s="403">
        <f>IF(ISNUMBER(IF(J_V="SI",Datos!K12,Datos!K12+Datos!AA12)),IF(J_V="SI",Datos!K12,Datos!K12+Datos!AA12)," - ")</f>
        <v>360</v>
      </c>
      <c r="H12" s="404">
        <f>IF(ISNUMBER(G12/B12),G12/B12," - ")</f>
        <v>180</v>
      </c>
      <c r="I12" s="403">
        <f>IF(ISNUMBER(IF(J_V="SI",Datos!L12,Datos!L12+Datos!AB12)),IF(J_V="SI",Datos!L12,Datos!L12+Datos!AB12)," - ")</f>
        <v>1400</v>
      </c>
      <c r="J12" s="404">
        <f>IF(ISNUMBER(I12/B12),I12/B12," - ")</f>
        <v>700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1197</v>
      </c>
      <c r="D13" s="850" t="str">
        <f>IF(ISNUMBER(C13/Datos!BI13),C13/Datos!BI13," - ")</f>
        <v xml:space="preserve"> - </v>
      </c>
      <c r="E13" s="849">
        <f>SUBTOTAL(9,E8:E12)</f>
        <v>578</v>
      </c>
      <c r="F13" s="850">
        <f>IF(ISNUMBER(E13/B13),E13/B13," - ")</f>
        <v>289</v>
      </c>
      <c r="G13" s="849">
        <f>SUBTOTAL(9,G8:G12)</f>
        <v>375</v>
      </c>
      <c r="H13" s="850">
        <f>IF(ISNUMBER(G13/B13),G13/B13," - ")</f>
        <v>187.5</v>
      </c>
      <c r="I13" s="849">
        <f>SUBTOTAL(9,I8:I12)</f>
        <v>1400</v>
      </c>
      <c r="J13" s="850">
        <f>IF(ISNUMBER(I13/B13),I13/B13," - ")</f>
        <v>700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594</v>
      </c>
      <c r="D16" s="404">
        <f>IF(ISNUMBER(C16/Datos!BH16),C16/Datos!BH16," - ")</f>
        <v>297</v>
      </c>
      <c r="E16" s="403">
        <f>IF(ISNUMBER(IF(D_I="SI",Datos!J16,Datos!J16+Datos!AD16)),IF(D_I="SI",Datos!J16,Datos!J16+Datos!AD16)," - ")</f>
        <v>209</v>
      </c>
      <c r="F16" s="404">
        <f>IF(ISNUMBER(E16/B16),E16/B16," - ")</f>
        <v>104.5</v>
      </c>
      <c r="G16" s="403">
        <f>IF(ISNUMBER(IF(D_I="SI",Datos!K16,Datos!K16+Datos!AE16)),IF(D_I="SI",Datos!K16,Datos!K16+Datos!AE16)," - ")</f>
        <v>208</v>
      </c>
      <c r="H16" s="404">
        <f>IF(ISNUMBER(G16/B16),G16/B16," - ")</f>
        <v>104</v>
      </c>
      <c r="I16" s="403">
        <f>IF(ISNUMBER(IF(D_I="SI",Datos!L16,Datos!L16+Datos!AF16)),IF(D_I="SI",Datos!L16,Datos!L16+Datos!AF16)," - ")</f>
        <v>597</v>
      </c>
      <c r="J16" s="404">
        <f>IF(ISNUMBER(I16/B16),I16/B16," - ")</f>
        <v>298.5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76</v>
      </c>
      <c r="D17" s="404">
        <f>IF(ISNUMBER(C17/Datos!BH17),C17/Datos!BH17," - ")</f>
        <v>76</v>
      </c>
      <c r="E17" s="403">
        <f>IF(ISNUMBER(IF(D_I="SI",Datos!J17,Datos!J17+Datos!AD17)),IF(D_I="SI",Datos!J17,Datos!J17+Datos!AD17)," - ")</f>
        <v>17</v>
      </c>
      <c r="F17" s="404">
        <f>IF(ISNUMBER(E17/B17),E17/B17," - ")</f>
        <v>17</v>
      </c>
      <c r="G17" s="403">
        <f>IF(ISNUMBER(IF(D_I="SI",Datos!K17,Datos!K17+Datos!AE17)),IF(D_I="SI",Datos!K17,Datos!K17+Datos!AE17)," - ")</f>
        <v>30</v>
      </c>
      <c r="H17" s="404">
        <f>IF(ISNUMBER(G17/B17),G17/B17," - ")</f>
        <v>30</v>
      </c>
      <c r="I17" s="403">
        <f>IF(ISNUMBER(IF(D_I="SI",Datos!L17,Datos!L17+Datos!AF17)),IF(D_I="SI",Datos!L17,Datos!L17+Datos!AF17)," - ")</f>
        <v>63</v>
      </c>
      <c r="J17" s="404">
        <f>IF(ISNUMBER(I17/B17),I17/B17," - ")</f>
        <v>63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670</v>
      </c>
      <c r="D18" s="850" t="str">
        <f>IF(ISNUMBER(C18/Datos!BI18),C18/Datos!BI18," - ")</f>
        <v xml:space="preserve"> - </v>
      </c>
      <c r="E18" s="849">
        <f>SUBTOTAL(9,E14:E17)</f>
        <v>226</v>
      </c>
      <c r="F18" s="850">
        <f>IF(ISNUMBER(E18/B18),E18/B18," - ")</f>
        <v>113</v>
      </c>
      <c r="G18" s="849">
        <f>SUBTOTAL(9,G14:G17)</f>
        <v>238</v>
      </c>
      <c r="H18" s="850">
        <f>IF(ISNUMBER(G18/B18),G18/B18," - ")</f>
        <v>119</v>
      </c>
      <c r="I18" s="849">
        <f>SUBTOTAL(9,I14:I17)</f>
        <v>660</v>
      </c>
      <c r="J18" s="850">
        <f>IF(ISNUMBER(I18/B18),I18/B18," - ")</f>
        <v>330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1867</v>
      </c>
      <c r="D19" s="795" t="str">
        <f>IF(ISNUMBER(C19/Datos!BI19),C19/Datos!BI19," - ")</f>
        <v xml:space="preserve"> - </v>
      </c>
      <c r="E19" s="794">
        <f>SUBTOTAL(9,E9:E18)</f>
        <v>804</v>
      </c>
      <c r="F19" s="795">
        <f>IF(ISNUMBER(E19/B19),E19/B19," - ")</f>
        <v>402</v>
      </c>
      <c r="G19" s="794">
        <f>SUBTOTAL(9,G9:G18)</f>
        <v>613</v>
      </c>
      <c r="H19" s="795">
        <f>IF(ISNUMBER(G19/B19),G19/B19," - ")</f>
        <v>306.5</v>
      </c>
      <c r="I19" s="794">
        <f>SUBTOTAL(9,I9:I18)</f>
        <v>2060</v>
      </c>
      <c r="J19" s="795">
        <f>IF(ISNUMBER(I19/B19),I19/B19," - ")</f>
        <v>1030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h2vWZtHNirK+Xr2r3QlGFwA8Rfm1FmGZA4Hq05pT+10P6GNIJCvUmnTFnEzFS+ECMG+/XKkGYH+kQaYXy//7UA==" saltValue="zvhwPb/qqwQ7PjolYBsxQ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LAVIANA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v>
      </c>
      <c r="G10" s="684">
        <f>IF(ISNUMBER(Datos!I10),Datos!I10," - ")</f>
        <v>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1340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76</v>
      </c>
      <c r="AM12" s="690">
        <f>IF(ISNUMBER(Datos!N12+DatosP!N16),Datos!N12+DatosP!N16," - ")</f>
        <v>73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11.666666666666668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4.6875E-2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13</v>
      </c>
      <c r="G13" s="938">
        <f t="shared" si="0"/>
        <v>13</v>
      </c>
      <c r="H13" s="938">
        <f t="shared" si="0"/>
        <v>0</v>
      </c>
      <c r="I13" s="940">
        <f t="shared" si="0"/>
        <v>0</v>
      </c>
      <c r="J13" s="939">
        <f t="shared" si="0"/>
        <v>0</v>
      </c>
      <c r="K13" s="939">
        <f t="shared" si="0"/>
        <v>0</v>
      </c>
      <c r="L13" s="941">
        <f t="shared" si="0"/>
        <v>0</v>
      </c>
      <c r="M13" s="941">
        <f t="shared" si="0"/>
        <v>0</v>
      </c>
      <c r="N13" s="939">
        <f t="shared" si="0"/>
        <v>109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v>
      </c>
      <c r="AC13" s="939">
        <f t="shared" si="1"/>
        <v>0</v>
      </c>
      <c r="AD13" s="939">
        <f t="shared" si="1"/>
        <v>49</v>
      </c>
      <c r="AE13" s="939">
        <f t="shared" si="1"/>
        <v>0</v>
      </c>
      <c r="AF13" s="939">
        <f t="shared" si="1"/>
        <v>0</v>
      </c>
      <c r="AG13" s="939">
        <f t="shared" si="1"/>
        <v>0</v>
      </c>
      <c r="AH13" s="939">
        <f t="shared" si="1"/>
        <v>1340</v>
      </c>
      <c r="AI13" s="939">
        <f t="shared" si="1"/>
        <v>0</v>
      </c>
      <c r="AJ13" s="939">
        <f t="shared" si="1"/>
        <v>0</v>
      </c>
      <c r="AK13" s="939">
        <f t="shared" si="1"/>
        <v>0</v>
      </c>
      <c r="AL13" s="939">
        <f t="shared" si="1"/>
        <v>85</v>
      </c>
      <c r="AM13" s="939">
        <f t="shared" si="1"/>
        <v>74</v>
      </c>
      <c r="AN13" s="939">
        <f t="shared" si="1"/>
        <v>0</v>
      </c>
      <c r="AO13" s="939">
        <f t="shared" si="1"/>
        <v>0</v>
      </c>
      <c r="AP13" s="944">
        <f>IF(ISNUMBER(((Datos!L13/Datos!K13)*11)/factor_trimestre),((Datos!L13/Datos!K13)*11)/factor_trimestre," - ")</f>
        <v>12.4954128440367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-1.1538461538461537</v>
      </c>
      <c r="AU13" s="939" t="str">
        <f>IF(ISNUMBER((DatosP!#REF!-DatosP!#REF!+DatosP!#REF!)/(DatosP!#REF!+DatosP!#REF!-DatosP!#REF!-DatosP!#REF!)),(DatosP!#REF!-DatosP!#REF!+DatosP!#REF!)/(DatosP!#REF!+DatosP!#REF!-DatosP!#REF!-DatosP!#REF!)," - ")</f>
        <v xml:space="preserve"> - </v>
      </c>
      <c r="AV13" s="945">
        <f>SUBTOTAL(9,AV9:AV12)</f>
        <v>4.6875E-2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8.3193277310924376</v>
      </c>
      <c r="AQ18" s="944">
        <f>IF(ISNUMBER(((Datos!M18/Datos!L18)*11)/factor_trimestre),((Datos!M18/Datos!L18)*11)/factor_trimestre," - ")</f>
        <v>0.21363636363636365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0.38775510204081631</v>
      </c>
      <c r="AW18" s="946">
        <f>IF(ISNUMBER((Datos!Q18-Datos!R18)/(Datos!S18-Datos!Q18+Datos!R18)),(Datos!Q18-Datos!R18)/(Datos!S18-Datos!Q18+Datos!R18)," - ")</f>
        <v>-0.11946050096339114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13</v>
      </c>
      <c r="G19" s="951">
        <f t="shared" si="4"/>
        <v>13</v>
      </c>
      <c r="H19" s="951">
        <f t="shared" si="4"/>
        <v>0</v>
      </c>
      <c r="I19" s="952">
        <f t="shared" si="4"/>
        <v>0</v>
      </c>
      <c r="J19" s="953">
        <f t="shared" si="4"/>
        <v>0</v>
      </c>
      <c r="K19" s="953">
        <f t="shared" si="4"/>
        <v>0</v>
      </c>
      <c r="L19" s="953">
        <f t="shared" si="4"/>
        <v>0</v>
      </c>
      <c r="M19" s="953">
        <f t="shared" si="4"/>
        <v>0</v>
      </c>
      <c r="N19" s="952">
        <f t="shared" si="4"/>
        <v>109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v>
      </c>
      <c r="AC19" s="957">
        <f t="shared" si="5"/>
        <v>0</v>
      </c>
      <c r="AD19" s="957">
        <f t="shared" si="5"/>
        <v>49</v>
      </c>
      <c r="AE19" s="957">
        <f t="shared" si="5"/>
        <v>0</v>
      </c>
      <c r="AF19" s="958">
        <f t="shared" si="5"/>
        <v>0</v>
      </c>
      <c r="AG19" s="958">
        <f t="shared" si="5"/>
        <v>0</v>
      </c>
      <c r="AH19" s="958">
        <f t="shared" si="5"/>
        <v>1340</v>
      </c>
      <c r="AI19" s="958">
        <f t="shared" si="5"/>
        <v>0</v>
      </c>
      <c r="AJ19" s="959">
        <f t="shared" si="5"/>
        <v>0</v>
      </c>
      <c r="AK19" s="959">
        <f t="shared" si="5"/>
        <v>0</v>
      </c>
      <c r="AL19" s="951">
        <f t="shared" si="5"/>
        <v>85</v>
      </c>
      <c r="AM19" s="951">
        <f t="shared" si="5"/>
        <v>74</v>
      </c>
      <c r="AN19" s="951">
        <f t="shared" si="5"/>
        <v>0</v>
      </c>
      <c r="AO19" s="951">
        <f t="shared" si="5"/>
        <v>0</v>
      </c>
      <c r="AP19" s="951">
        <f>IF(ISNUMBER(((Datos!L19/Datos!K19)*11)/factor_trimestre),((Datos!L19/Datos!K19)*11)/factor_trimestre," - ")</f>
        <v>10.736283185840708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-1.1538461538461537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5.9443190368698266E-2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8.6666666666666661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7.5055534994651349</v>
      </c>
      <c r="G21" s="737">
        <f>IF(ISNUMBER(STDEV(G8:G18)),STDEV(G8:G18),"-")</f>
        <v>7.5055534994651349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8.6602540378443873</v>
      </c>
      <c r="AC21" s="738">
        <f>IF(ISNUMBER(STDEV(AC8:AC18)),STDEV(AC8:AC18),"-")</f>
        <v>0</v>
      </c>
      <c r="AD21" s="741"/>
      <c r="AE21" s="741"/>
      <c r="AF21" s="741"/>
      <c r="AG21" s="741"/>
      <c r="AH21" s="741"/>
      <c r="AI21" s="741"/>
      <c r="AJ21" s="742">
        <f>IF(ISNUMBER(STDEV(AJ8:AJ18)),STDEV(AJ8:AJ18),"-")</f>
        <v>0</v>
      </c>
      <c r="AK21" s="744"/>
      <c r="AL21" s="736">
        <f>IF(ISNUMBER(STDEV(AL8:AL18)),STDEV(AL8:AL18),"-")</f>
        <v>44.185216230469365</v>
      </c>
      <c r="AM21" s="736"/>
      <c r="AN21" s="736">
        <f>IF(ISNUMBER(STDEV(AN8:AN18)),STDEV(AN8:AN18),"-")</f>
        <v>0</v>
      </c>
      <c r="AO21" s="742">
        <f>IF(ISNUMBER(STDEV(AO8:AO18)),STDEV(AO8:AO18),"-")</f>
        <v>0</v>
      </c>
      <c r="AP21" s="779">
        <f>IF(ISNUMBER(STDEV(AP8:AP18)),STDEV(AP8:AP18),"-")</f>
        <v>5.7066397891551386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Kqdmfl3Opp1j80QZ8VOZyjGgXlEPu51w3saiVyztADGcHW+xNCpNcdKTGNHyO/RlaNZ0bXXYrZns7IwDRes9gg==" saltValue="o86zHaAdkF65ab1rCsm5T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LAVIANA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kFiJHoCVEyJWvK+j8ig7uLKAbsHwB2EnLEQJb6vmyFSfojs7ZiEl0pqIwsrpqzStx6HbtNGknFXEyuhsHAD8Rg==" saltValue="gFthcdDeyEz/0KoIFkIJt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LAVIANA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76</v>
      </c>
      <c r="E12" s="404">
        <f t="shared" si="0"/>
        <v>38</v>
      </c>
      <c r="F12" s="403">
        <f>IF(ISNUMBER(Datos!N12),Datos!N12," - ")</f>
        <v>73</v>
      </c>
      <c r="G12" s="404">
        <f t="shared" si="1"/>
        <v>36.5</v>
      </c>
      <c r="H12" s="403">
        <f>IF(ISNUMBER(Datos!O12),Datos!O12," - ")</f>
        <v>131</v>
      </c>
      <c r="I12" s="404">
        <f t="shared" si="2"/>
        <v>65.5</v>
      </c>
      <c r="BZ12" s="1186">
        <f>Datos!EZ12</f>
        <v>0</v>
      </c>
    </row>
    <row r="13" spans="1:78" ht="14.25" thickTop="1" thickBot="1">
      <c r="A13" s="848" t="str">
        <f>Datos!A13</f>
        <v>TOTAL</v>
      </c>
      <c r="B13" s="849">
        <f>Datos!AP13</f>
        <v>2</v>
      </c>
      <c r="C13" s="851">
        <f>Datos!AR13</f>
        <v>2</v>
      </c>
      <c r="D13" s="849">
        <f>SUBTOTAL(9,D9:D12)</f>
        <v>85</v>
      </c>
      <c r="E13" s="850">
        <f t="shared" si="0"/>
        <v>42.5</v>
      </c>
      <c r="F13" s="849">
        <f>SUBTOTAL(9,F9:F12)</f>
        <v>74</v>
      </c>
      <c r="G13" s="850">
        <f t="shared" si="1"/>
        <v>37</v>
      </c>
      <c r="H13" s="849">
        <f>SUBTOTAL(9,H9:H12)</f>
        <v>131</v>
      </c>
      <c r="I13" s="850">
        <f>IF(ISNUMBER(H13/B13),H13/B13," - ")</f>
        <v>65.5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38</v>
      </c>
      <c r="E16" s="404">
        <f t="shared" si="3"/>
        <v>19</v>
      </c>
      <c r="F16" s="403">
        <f>IF(ISNUMBER(Datos!N16),Datos!N16," - ")</f>
        <v>130</v>
      </c>
      <c r="G16" s="404">
        <f t="shared" si="4"/>
        <v>65</v>
      </c>
      <c r="H16" s="403">
        <f>IF(ISNUMBER(Datos!O16),Datos!O16," - ")</f>
        <v>4</v>
      </c>
      <c r="I16" s="404">
        <f t="shared" si="5"/>
        <v>2</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9</v>
      </c>
      <c r="G17" s="404">
        <f>IF(ISNUMBER(F17/B17),F17/B17," - ")</f>
        <v>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47</v>
      </c>
      <c r="E18" s="850">
        <f t="shared" si="3"/>
        <v>23.5</v>
      </c>
      <c r="F18" s="849">
        <f>SUBTOTAL(9,F15:F17)</f>
        <v>139</v>
      </c>
      <c r="G18" s="850">
        <f t="shared" si="4"/>
        <v>69.5</v>
      </c>
      <c r="H18" s="849">
        <f>SUBTOTAL(9,H15:H17)</f>
        <v>4</v>
      </c>
      <c r="I18" s="850">
        <f>IF(ISNUMBER(H18/B18),H18/B18," - ")</f>
        <v>2</v>
      </c>
      <c r="BZ18" s="1186"/>
    </row>
    <row r="19" spans="1:78" ht="14.25" thickTop="1" thickBot="1">
      <c r="A19" s="793" t="str">
        <f>Datos!A19</f>
        <v>TOTAL JURISDICCIONES</v>
      </c>
      <c r="B19" s="794">
        <f>Datos!AP19</f>
        <v>2</v>
      </c>
      <c r="C19" s="794">
        <f>Datos!AR19</f>
        <v>2</v>
      </c>
      <c r="D19" s="794">
        <f>SUBTOTAL(9,D8:D18)</f>
        <v>132</v>
      </c>
      <c r="E19" s="795">
        <f>IF(ISNUMBER(D19/B19),D19/B19," - ")</f>
        <v>66</v>
      </c>
      <c r="F19" s="794">
        <f>SUBTOTAL(9,F8:F18)</f>
        <v>213</v>
      </c>
      <c r="G19" s="795">
        <f>IF(ISNUMBER(F19/B19),F19/B19," - ")</f>
        <v>106.5</v>
      </c>
      <c r="H19" s="794">
        <f>SUBTOTAL(9,H8:H18)</f>
        <v>135</v>
      </c>
      <c r="I19" s="795">
        <f>IF(ISNUMBER(H19/B19),H19/B19," - ")</f>
        <v>67.5</v>
      </c>
    </row>
    <row r="22" spans="1:78">
      <c r="A22" s="391" t="str">
        <f>Criterios!A4</f>
        <v>Fecha Informe: 03 jun. 2025</v>
      </c>
    </row>
    <row r="27" spans="1:78">
      <c r="A27" s="414"/>
    </row>
  </sheetData>
  <sheetProtection algorithmName="SHA-512" hashValue="Lyzqnt8E1Xc4Z8KSm2KUDEnrGBCFbxFhFvDSvDQ45YKsI0ncacrZvQiGojFChhplloFFpwaMm2FiLchuK+J9IA==" saltValue="8bMIqwV98DA5EO3HHKdcl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LAVIANA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109</v>
      </c>
      <c r="C12" s="434">
        <f>IF(ISNUMBER(Datos!Q12),Datos!Q12," - ")</f>
        <v>49</v>
      </c>
      <c r="D12" s="408">
        <f>IF(ISNUMBER(Datos!R12),Datos!R12," - ")</f>
        <v>1340</v>
      </c>
    </row>
    <row r="13" spans="1:4" ht="14.25" thickTop="1" thickBot="1">
      <c r="A13" s="848" t="str">
        <f>Datos!A13</f>
        <v>TOTAL</v>
      </c>
      <c r="B13" s="849">
        <f>SUBTOTAL(9,B9:B12)</f>
        <v>109</v>
      </c>
      <c r="C13" s="853">
        <f>SUBTOTAL(9,C9:C12)</f>
        <v>49</v>
      </c>
      <c r="D13" s="851">
        <f>SUBTOTAL(9,D9:D12)</f>
        <v>1340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25</v>
      </c>
      <c r="C16" s="434">
        <f>IF(ISNUMBER(Datos!Q16),Datos!Q16," - ")</f>
        <v>6</v>
      </c>
      <c r="D16" s="408">
        <f>IF(ISNUMBER(Datos!R16),Datos!R16," - ")</f>
        <v>68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25</v>
      </c>
      <c r="C18" s="853">
        <f>SUBTOTAL(9,C15:C17)</f>
        <v>6</v>
      </c>
      <c r="D18" s="851">
        <f>SUBTOTAL(9,D15:D17)</f>
        <v>68</v>
      </c>
    </row>
    <row r="19" spans="1:4" ht="16.5" customHeight="1" thickTop="1" thickBot="1">
      <c r="A19" s="793" t="str">
        <f>Datos!A19</f>
        <v>TOTAL JURISDICCIONES</v>
      </c>
      <c r="B19" s="798">
        <f>SUBTOTAL(9,B8:B18)</f>
        <v>134</v>
      </c>
      <c r="C19" s="799">
        <f>SUBTOTAL(9,C8:C18)</f>
        <v>55</v>
      </c>
      <c r="D19" s="800">
        <f>SUBTOTAL(9,D8:D18)</f>
        <v>1408</v>
      </c>
    </row>
    <row r="20" spans="1:4" ht="7.5" customHeight="1"/>
    <row r="21" spans="1:4" ht="6" customHeight="1"/>
    <row r="22" spans="1:4">
      <c r="A22" s="391" t="str">
        <f>Criterios!A4</f>
        <v>Fecha Informe: 03 jun. 2025</v>
      </c>
    </row>
    <row r="27" spans="1:4">
      <c r="A27" s="414"/>
    </row>
  </sheetData>
  <sheetProtection algorithmName="SHA-512" hashValue="rInKY1SUpAv9Nz165q+MNQfmqnH5n1+YWVkUm2Fk0SfbbgMRDdFBj176F4PcZs6JOrjRxisT0H4KZtjgwTNHuQ==" saltValue="fiIdBWegMEj5ppmW26mi7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LAVIANA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0.625</v>
      </c>
      <c r="C10" s="456">
        <f>IF(ISNUMBER((Datos!J10-Datos!T10)/Datos!T10),(Datos!J10-Datos!T10)/Datos!T10," - ")</f>
        <v>-0.5</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0.14285714285714285</v>
      </c>
      <c r="C12" s="456">
        <f>IF(ISNUMBER(
   IF(J_V="SI",(Datos!J12-Datos!T12)/Datos!T12,(Datos!J12+Datos!Z12-(Datos!T12+Datos!AH12))/(Datos!T12+Datos!AH12))
     ),IF(J_V="SI",(Datos!J12-Datos!T12)/Datos!T12,(Datos!J12+Datos!Z12-(Datos!T12+Datos!AH12))/(Datos!T12+Datos!AH12))," - ")</f>
        <v>0.53191489361702127</v>
      </c>
      <c r="D12" s="456">
        <f>IF(ISNUMBER(
   IF(J_V="SI",(Datos!K12-Datos!U12)/Datos!U12,(Datos!K12+Datos!AA12-(Datos!U12+Datos!AI12))/(Datos!U12+Datos!AI12))
     ),IF(J_V="SI",(Datos!K12-Datos!U12)/Datos!U12,(Datos!K12+Datos!AA12-(Datos!U12+Datos!AI12))/(Datos!U12+Datos!AI12))," - ")</f>
        <v>0.2413793103448276</v>
      </c>
      <c r="E12" s="456">
        <f>IF(ISNUMBER(
   IF(J_V="SI",(Datos!L12-Datos!V12)/Datos!V12,(Datos!L12+Datos!AB12-(Datos!V12+Datos!AJ12))/(Datos!V12+Datos!AJ12))
     ),IF(J_V="SI",(Datos!L12-Datos!V12)/Datos!V12,(Datos!L12+Datos!AB12-(Datos!V12+Datos!AJ12))/(Datos!V12+Datos!AJ12))," - ")</f>
        <v>0.24666073018699911</v>
      </c>
      <c r="F12" s="456">
        <f>IF(ISNUMBER((Datos!M12-Datos!W12)/Datos!W12),(Datos!M12-Datos!W12)/Datos!W12," - ")</f>
        <v>-0.19148936170212766</v>
      </c>
      <c r="G12" s="457">
        <f>IF(ISNUMBER((Datos!N12-Datos!X12)/Datos!X12),(Datos!N12-Datos!X12)/Datos!X12," - ")</f>
        <v>-0.17045454545454544</v>
      </c>
      <c r="H12" s="455">
        <f>IF(ISNUMBER(((NºAsuntos!G12/NºAsuntos!E12)-Datos!BD12)/Datos!BD12),((NºAsuntos!G12/NºAsuntos!E12)-Datos!BD12)/Datos!BD12," - ")</f>
        <v>-0.18965517241379315</v>
      </c>
      <c r="I12" s="456">
        <f>IF(ISNUMBER(((NºAsuntos!I12/NºAsuntos!G12)-Datos!BE12)/Datos!BE12),((NºAsuntos!I12/NºAsuntos!G12)-Datos!BE12)/Datos!BE12," - ")</f>
        <v>4.254477095082641E-3</v>
      </c>
      <c r="J12" s="461">
        <f>IF(ISNUMBER((('Resol  Asuntos'!D12/NºAsuntos!G12)-Datos!BF12)/Datos!BF12),(('Resol  Asuntos'!D12/NºAsuntos!G12)-Datos!BF12)/Datos!BF12," - ")</f>
        <v>-0.30429292929292928</v>
      </c>
      <c r="K12" s="462">
        <f>IF(ISNUMBER((((NºAsuntos!C12+NºAsuntos!E12)/NºAsuntos!G12)-Datos!BG12)/Datos!BG12),(((NºAsuntos!C12+NºAsuntos!E12)/NºAsuntos!G12)-Datos!BG12)/Datos!BG12," - ")</f>
        <v>4.0919106074913418E-3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0.14655172413793102</v>
      </c>
      <c r="C13" s="855">
        <f>IF(ISNUMBER(
   IF(J_V="SI",(Datos!J13-Datos!T13)/Datos!T13,(Datos!J13+Datos!Z13-(Datos!T13+Datos!AH13))/(Datos!T13+Datos!AH13))
     ),IF(J_V="SI",(Datos!J13-Datos!T13)/Datos!T13,(Datos!J13+Datos!Z13-(Datos!T13+Datos!AH13))/(Datos!T13+Datos!AH13))," - ")</f>
        <v>0.52105263157894732</v>
      </c>
      <c r="D13" s="855">
        <f>IF(ISNUMBER(
   IF(J_V="SI",(Datos!K13-Datos!U13)/Datos!U13,(Datos!K13+Datos!AA13-(Datos!U13+Datos!AI13))/(Datos!U13+Datos!AI13))
     ),IF(J_V="SI",(Datos!K13-Datos!U13)/Datos!U13,(Datos!K13+Datos!AA13-(Datos!U13+Datos!AI13))/(Datos!U13+Datos!AI13))," - ")</f>
        <v>0.29310344827586204</v>
      </c>
      <c r="E13" s="855">
        <f>IF(ISNUMBER(
   IF(J_V="SI",(Datos!L13-Datos!V13)/Datos!V13,(Datos!L13+Datos!AB13-(Datos!V13+Datos!AJ13))/(Datos!V13+Datos!AJ13))
     ),IF(J_V="SI",(Datos!L13-Datos!V13)/Datos!V13,(Datos!L13+Datos!AB13-(Datos!V13+Datos!AJ13))/(Datos!V13+Datos!AJ13))," - ")</f>
        <v>0.23348017621145375</v>
      </c>
      <c r="F13" s="856">
        <f>IF(ISNUMBER((Datos!M13-Datos!W13)/Datos!W13),(Datos!M13-Datos!W13)/Datos!W13," - ")</f>
        <v>-9.5744680851063829E-2</v>
      </c>
      <c r="G13" s="857">
        <f>IF(ISNUMBER((Datos!N13-Datos!X13)/Datos!X13),(Datos!N13-Datos!X13)/Datos!X13," - ")</f>
        <v>-0.15909090909090909</v>
      </c>
      <c r="H13" s="857">
        <f>IF(ISNUMBER(((NºAsuntos!G13/NºAsuntos!E13)-Datos!BD13)/Datos!BD13),((NºAsuntos!G13/NºAsuntos!E13)-Datos!BD13)/Datos!BD13," - ")</f>
        <v>-0.14986278487054061</v>
      </c>
      <c r="I13" s="857">
        <f>IF(ISNUMBER(((NºAsuntos!I13/NºAsuntos!G13)-Datos!BE13)/Datos!BE13),((NºAsuntos!I13/NºAsuntos!G13)-Datos!BE13)/Datos!BE13," - ")</f>
        <v>-4.6108663729809075E-2</v>
      </c>
      <c r="J13" s="857">
        <f>IF(ISNUMBER((('Resol  Asuntos'!D13/NºAsuntos!G13)-Datos!BF13)/Datos!BF13),(('Resol  Asuntos'!D13/NºAsuntos!G13)-Datos!BF13)/Datos!BF13," - ")</f>
        <v>-0.25303030303030305</v>
      </c>
      <c r="K13" s="857">
        <f>IF(ISNUMBER((((NºAsuntos!C13+NºAsuntos!E13)/NºAsuntos!G13)-Datos!BG13)/Datos!BG13),(((NºAsuntos!C13+NºAsuntos!E13)/NºAsuntos!G13)-Datos!BG13)/Datos!BG13," - ")</f>
        <v>-3.6048689138576777E-2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0.44174757281553401</v>
      </c>
      <c r="C16" s="456">
        <f>IF(ISNUMBER(
   IF(D_I="SI",(Datos!J16-Datos!T16)/Datos!T16,(Datos!J16+Datos!AD16-(Datos!T16+Datos!AL16))/(Datos!T16+Datos!AL16))
     ),IF(D_I="SI",(Datos!J16-Datos!T16)/Datos!T16,(Datos!J16+Datos!AD16-(Datos!T16+Datos!AL16))/(Datos!T16+Datos!AL16))," - ")</f>
        <v>-0.35493827160493829</v>
      </c>
      <c r="D16" s="456">
        <f>IF(ISNUMBER(
   IF(D_I="SI",(Datos!K16-Datos!U16)/Datos!U16,(Datos!K16+Datos!AE16-(Datos!U16+Datos!AM16))/(Datos!U16+Datos!AM16))
     ),IF(D_I="SI",(Datos!K16-Datos!U16)/Datos!U16,(Datos!K16+Datos!AE16-(Datos!U16+Datos!AM16))/(Datos!U16+Datos!AM16))," - ")</f>
        <v>-0.17460317460317459</v>
      </c>
      <c r="E16" s="456">
        <f>IF(ISNUMBER(
   IF(D_I="SI",(Datos!L16-Datos!V16)/Datos!V16,(Datos!L16+Datos!AF16-(Datos!V16+Datos!AN16))/(Datos!V16+Datos!AN16))
     ),IF(D_I="SI",(Datos!L16-Datos!V16)/Datos!V16,(Datos!L16+Datos!AF16-(Datos!V16+Datos!AN16))/(Datos!V16+Datos!AN16))," - ")</f>
        <v>0.22587268993839835</v>
      </c>
      <c r="F16" s="456">
        <f>IF(ISNUMBER((Datos!M16-Datos!W16)/Datos!W16),(Datos!M16-Datos!W16)/Datos!W16," - ")</f>
        <v>-2.564102564102564E-2</v>
      </c>
      <c r="G16" s="457">
        <f>IF(ISNUMBER((Datos!N16-Datos!X16)/Datos!X16),(Datos!N16-Datos!X16)/Datos!X16," - ")</f>
        <v>0.34020618556701032</v>
      </c>
      <c r="H16" s="455">
        <f>IF(ISNUMBER(((NºAsuntos!G16/NºAsuntos!E16)-Datos!BD16)/Datos!BD16),((NºAsuntos!G16/NºAsuntos!E16)-Datos!BD16)/Datos!BD16," - ")</f>
        <v>0.2795625427204374</v>
      </c>
      <c r="I16" s="456">
        <f>IF(ISNUMBER(((NºAsuntos!I16/NºAsuntos!G16)-Datos!BE16)/Datos!BE16),((NºAsuntos!I16/NºAsuntos!G16)-Datos!BE16)/Datos!BE16," - ")</f>
        <v>0.48519191280998253</v>
      </c>
      <c r="J16" s="461">
        <f>IF(ISNUMBER((('Resol  Asuntos'!D16/NºAsuntos!G16)-Datos!BF16)/Datos!BF16),(('Resol  Asuntos'!D16/NºAsuntos!G16)-Datos!BF16)/Datos!BF16," - ")</f>
        <v>0.18047337278106498</v>
      </c>
      <c r="K16" s="462">
        <f>IF(ISNUMBER((((NºAsuntos!C16+NºAsuntos!E16)/NºAsuntos!G16)-Datos!BG16)/Datos!BG16),(((NºAsuntos!C16+NºAsuntos!E16)/NºAsuntos!G16)-Datos!BG16)/Datos!BG16," - ")</f>
        <v>0.32182796822742477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0.68888888888888888</v>
      </c>
      <c r="C17" s="456">
        <f>IF(ISNUMBER(
   IF(D_I="SI",(Datos!J17-Datos!T17)/Datos!T17,(Datos!J17+Datos!AD17-(Datos!T17+Datos!AL17))/(Datos!T17+Datos!AL17))
     ),IF(D_I="SI",(Datos!J17-Datos!T17)/Datos!T17,(Datos!J17+Datos!AD17-(Datos!T17+Datos!AL17))/(Datos!T17+Datos!AL17))," - ")</f>
        <v>-0.59523809523809523</v>
      </c>
      <c r="D17" s="456">
        <f>IF(ISNUMBER(
   IF(D_I="SI",(Datos!K17-Datos!U17)/Datos!U17,(Datos!K17+Datos!AE17-(Datos!U17+Datos!AM17))/(Datos!U17+Datos!AM17))
     ),IF(D_I="SI",(Datos!K17-Datos!U17)/Datos!U17,(Datos!K17+Datos!AE17-(Datos!U17+Datos!AM17))/(Datos!U17+Datos!AM17))," - ")</f>
        <v>0.15384615384615385</v>
      </c>
      <c r="E17" s="456">
        <f>IF(ISNUMBER(
   IF(D_I="SI",(Datos!L17-Datos!V17)/Datos!V17,(Datos!L17+Datos!AF17-(Datos!V17+Datos!AN17))/(Datos!V17+Datos!AN17))
     ),IF(D_I="SI",(Datos!L17-Datos!V17)/Datos!V17,(Datos!L17+Datos!AF17-(Datos!V17+Datos!AN17))/(Datos!V17+Datos!AN17))," - ")</f>
        <v>3.2786885245901641E-2</v>
      </c>
      <c r="F17" s="456">
        <f>IF(ISNUMBER((Datos!M17-Datos!W17)/Datos!W17),(Datos!M17-Datos!W17)/Datos!W17," - ")</f>
        <v>0.8</v>
      </c>
      <c r="G17" s="457">
        <f>IF(ISNUMBER((Datos!N17-Datos!X17)/Datos!X17),(Datos!N17-Datos!X17)/Datos!X17," - ")</f>
        <v>-0.5714285714285714</v>
      </c>
      <c r="H17" s="455">
        <f>IF(ISNUMBER(((NºAsuntos!G17/NºAsuntos!E17)-Datos!BD17)/Datos!BD17),((NºAsuntos!G17/NºAsuntos!E17)-Datos!BD17)/Datos!BD17," - ")</f>
        <v>1.8506787330316741</v>
      </c>
      <c r="I17" s="456">
        <f>IF(ISNUMBER(((NºAsuntos!I17/NºAsuntos!G17)-Datos!BE17)/Datos!BE17),((NºAsuntos!I17/NºAsuntos!G17)-Datos!BE17)/Datos!BE17," - ")</f>
        <v>-0.10491803278688525</v>
      </c>
      <c r="J17" s="461">
        <f>IF(ISNUMBER((('Resol  Asuntos'!D17/NºAsuntos!G17)-Datos!BF17)/Datos!BF17),(('Resol  Asuntos'!D17/NºAsuntos!G17)-Datos!BF17)/Datos!BF17," - ")</f>
        <v>0.55999999999999983</v>
      </c>
      <c r="K17" s="462">
        <f>IF(ISNUMBER((((NºAsuntos!C17+NºAsuntos!E17)/NºAsuntos!G17)-Datos!BG17)/Datos!BG17),(((NºAsuntos!C17+NºAsuntos!E17)/NºAsuntos!G17)-Datos!BG17)/Datos!BG17," - ")</f>
        <v>-7.3563218390804597E-2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0.46608315098468273</v>
      </c>
      <c r="C18" s="855">
        <f>IF(ISNUMBER(
   IF(Criterios!B14="SI",(Datos!J18-Datos!T18)/Datos!T18,(Datos!J18+Datos!AD18-(Datos!T18+Datos!AL18))/(Datos!T18+Datos!AL18))
     ),IF(Criterios!B14="SI",(Datos!J18-Datos!T18)/Datos!T18,(Datos!J18+Datos!AD18-(Datos!T18+Datos!AL18))/(Datos!T18+Datos!AL18))," - ")</f>
        <v>-0.38251366120218577</v>
      </c>
      <c r="D18" s="855">
        <f>IF(ISNUMBER(
   IF(Criterios!B14="SI",(Datos!K18-Datos!U18)/Datos!U18,(Datos!K18+Datos!AE18-(Datos!U18+Datos!AM18))/(Datos!U18+Datos!AM18))
     ),IF(Criterios!B14="SI",(Datos!K18-Datos!U18)/Datos!U18,(Datos!K18+Datos!AE18-(Datos!U18+Datos!AM18))/(Datos!U18+Datos!AM18))," - ")</f>
        <v>-0.14388489208633093</v>
      </c>
      <c r="E18" s="855">
        <f>IF(ISNUMBER(
   IF(Criterios!B14="SI",(Datos!L18-Datos!V18)/Datos!V18,(Datos!L18+Datos!AF18-(Datos!V18+Datos!AN18))/(Datos!V18+Datos!AN18))
     ),IF(Criterios!B14="SI",(Datos!L18-Datos!V18)/Datos!V18,(Datos!L18+Datos!AF18-(Datos!V18+Datos!AN18))/(Datos!V18+Datos!AN18))," - ")</f>
        <v>0.20437956204379562</v>
      </c>
      <c r="F18" s="856">
        <f>IF(ISNUMBER((Datos!M18-Datos!W18)/Datos!W18),(Datos!M18-Datos!W18)/Datos!W18," - ")</f>
        <v>6.8181818181818177E-2</v>
      </c>
      <c r="G18" s="857">
        <f>IF(ISNUMBER((Datos!N18-Datos!X18)/Datos!X18),(Datos!N18-Datos!X18)/Datos!X18," - ")</f>
        <v>0.17796610169491525</v>
      </c>
      <c r="H18" s="857">
        <f>IF(ISNUMBER(((NºAsuntos!G18/NºAsuntos!E18)-Datos!BD18)/Datos!BD18),((NºAsuntos!G18/NºAsuntos!E18)-Datos!BD18)/Datos!BD18," - ")</f>
        <v>0.38645190042656158</v>
      </c>
      <c r="I18" s="857">
        <f>IF(ISNUMBER(((NºAsuntos!I18/NºAsuntos!G18)-Datos!BE18)/Datos!BE18),((NºAsuntos!I18/NºAsuntos!G18)-Datos!BE18)/Datos!BE18," - ")</f>
        <v>0.40679629516039989</v>
      </c>
      <c r="J18" s="857">
        <f>IF(ISNUMBER((('Resol  Asuntos'!D18/NºAsuntos!G18)-Datos!BF18)/Datos!BF18),(('Resol  Asuntos'!D18/NºAsuntos!G18)-Datos!BF18)/Datos!BF18," - ")</f>
        <v>0.24770817417876245</v>
      </c>
      <c r="K18" s="857">
        <f>IF(ISNUMBER((((NºAsuntos!C18+NºAsuntos!E18)/NºAsuntos!G18)-Datos!BG18)/Datos!BG18),(((NºAsuntos!C18+NºAsuntos!E18)/NºAsuntos!G18)-Datos!BG18)/Datos!BG18," - ")</f>
        <v>0.27167464798799235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0.24383744170552965</v>
      </c>
      <c r="C19" s="802">
        <f>IF(ISNUMBER(
   IF(J_V="SI",(Datos!J19-Datos!T19)/Datos!T19,(Datos!J19+Datos!Z19-(Datos!T19+Datos!AH19))/(Datos!T19+Datos!AH19))
     ),IF(J_V="SI",(Datos!J19-Datos!T19)/Datos!T19,(Datos!J19+Datos!Z19-(Datos!T19+Datos!AH19))/(Datos!T19+Datos!AH19))," - ")</f>
        <v>7.7747989276139406E-2</v>
      </c>
      <c r="D19" s="802">
        <f>IF(ISNUMBER(
   IF(J_V="SI",(Datos!K19-Datos!U19)/Datos!U19,(Datos!K19+Datos!AA19-(Datos!U19+Datos!AI19))/(Datos!U19+Datos!AI19))
     ),IF(J_V="SI",(Datos!K19-Datos!U19)/Datos!U19,(Datos!K19+Datos!AA19-(Datos!U19+Datos!AI19))/(Datos!U19+Datos!AI19))," - ")</f>
        <v>7.9225352112676062E-2</v>
      </c>
      <c r="E19" s="802">
        <f>IF(ISNUMBER(
   IF(J_V="SI",(Datos!L19-Datos!V19)/Datos!V19,(Datos!L19+Datos!AB19-(Datos!V19+Datos!AJ19))/(Datos!V19+Datos!AJ19))
     ),IF(J_V="SI",(Datos!L19-Datos!V19)/Datos!V19,(Datos!L19+Datos!AB19-(Datos!V19+Datos!AJ19))/(Datos!V19+Datos!AJ19))," - ")</f>
        <v>0.22400475341651813</v>
      </c>
      <c r="F19" s="803">
        <f>IF(ISNUMBER((Datos!M19-Datos!W19)/Datos!W19),(Datos!M19-Datos!W19)/Datos!W19," - ")</f>
        <v>-4.3478260869565216E-2</v>
      </c>
      <c r="G19" s="804">
        <f>IF(ISNUMBER((Datos!N19-Datos!X19)/Datos!X19),(Datos!N19-Datos!X19)/Datos!X19," - ")</f>
        <v>3.3980582524271843E-2</v>
      </c>
      <c r="H19" s="805">
        <f>IF(ISNUMBER((Tasas!B19-Datos!BD19)/Datos!BD19),(Tasas!B19-Datos!BD19)/Datos!BD19," - ")</f>
        <v>1.3707869105178949E-3</v>
      </c>
      <c r="I19" s="806">
        <f>IF(ISNUMBER((Tasas!C19-Datos!BE19)/Datos!BE19),(Tasas!C19-Datos!BE19)/Datos!BE19," - ")</f>
        <v>0.13415122339409832</v>
      </c>
      <c r="J19" s="807">
        <f>IF(ISNUMBER((Tasas!D19-Datos!BF19)/Datos!BF19),(Tasas!D19-Datos!BF19)/Datos!BF19," - ")</f>
        <v>-7.3409461663947795E-2</v>
      </c>
      <c r="K19" s="807">
        <f>IF(ISNUMBER((Tasas!E19-Datos!BG19)/Datos!BG19),(Tasas!E19-Datos!BG19)/Datos!BG19," - ")</f>
        <v>0.10143450284628198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ZRrWclpQ1jZCCknuMPo2B0OM/rBTZYepaTWYODSp42czX8ZHdomKJOhi/VT8mrkWFidvqjHpWrQt3Gj0KdmKw==" saltValue="81+UeXpkScUj8l9UZXUHb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LAVIANA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7.5</v>
      </c>
      <c r="C10" s="443">
        <f>IF(ISNUMBER(NºAsuntos!I10/NºAsuntos!G10),NºAsuntos!I10/NºAsuntos!G10," - ")</f>
        <v>0</v>
      </c>
      <c r="D10" s="444">
        <f>IF(ISNUMBER('Resol  Asuntos'!D10/NºAsuntos!G10),'Resol  Asuntos'!D10/NºAsuntos!G10," - ")</f>
        <v>0.6</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0.625</v>
      </c>
      <c r="C12" s="443">
        <f>IF(ISNUMBER(NºAsuntos!I12/NºAsuntos!G12),NºAsuntos!I12/NºAsuntos!G12," - ")</f>
        <v>3.8888888888888888</v>
      </c>
      <c r="D12" s="444">
        <f>IF(ISNUMBER('Resol  Asuntos'!D12/NºAsuntos!G12),'Resol  Asuntos'!D12/NºAsuntos!G12," - ")</f>
        <v>0.21111111111111111</v>
      </c>
      <c r="E12" s="445">
        <f>IF(ISNUMBER((NºAsuntos!C12+NºAsuntos!E12)/NºAsuntos!G12),(NºAsuntos!C12+NºAsuntos!E12)/NºAsuntos!G12," - ")</f>
        <v>4.8888888888888893</v>
      </c>
      <c r="G12" s="463"/>
    </row>
    <row r="13" spans="1:7" ht="14.25" thickTop="1" thickBot="1">
      <c r="A13" s="848" t="str">
        <f>Datos!A13</f>
        <v>TOTAL</v>
      </c>
      <c r="B13" s="858">
        <f>IF(ISNUMBER(NºAsuntos!G13/NºAsuntos!E13),NºAsuntos!G13/NºAsuntos!E13," - ")</f>
        <v>0.64878892733564009</v>
      </c>
      <c r="C13" s="859">
        <f>IF(ISNUMBER(NºAsuntos!I13/NºAsuntos!G13),NºAsuntos!I13/NºAsuntos!G13," - ")</f>
        <v>3.7333333333333334</v>
      </c>
      <c r="D13" s="860">
        <f>IF(ISNUMBER('Resol  Asuntos'!D13/NºAsuntos!G13),'Resol  Asuntos'!D13/NºAsuntos!G13," - ")</f>
        <v>0.22666666666666666</v>
      </c>
      <c r="E13" s="861">
        <f>IF(ISNUMBER((NºAsuntos!C13+NºAsuntos!E13)/NºAsuntos!G13),(NºAsuntos!C13+NºAsuntos!E13)/NºAsuntos!G13," - ")</f>
        <v>4.7333333333333334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0.99521531100478466</v>
      </c>
      <c r="C16" s="443">
        <f>IF(ISNUMBER(NºAsuntos!I16/NºAsuntos!G16),NºAsuntos!I16/NºAsuntos!G16," - ")</f>
        <v>2.8701923076923075</v>
      </c>
      <c r="D16" s="444">
        <f>IF(ISNUMBER('Resol  Asuntos'!D16/NºAsuntos!G16),'Resol  Asuntos'!D16/NºAsuntos!G16," - ")</f>
        <v>0.18269230769230768</v>
      </c>
      <c r="E16" s="445">
        <f>IF(ISNUMBER((NºAsuntos!C16+NºAsuntos!E16)/NºAsuntos!G16),(NºAsuntos!C16+NºAsuntos!E16)/NºAsuntos!G16," - ")</f>
        <v>3.8605769230769229</v>
      </c>
      <c r="G16" s="463"/>
    </row>
    <row r="17" spans="1:7" ht="13.5" thickBot="1">
      <c r="A17" s="402" t="str">
        <f>Datos!A17</f>
        <v>Jdos. Violencia contra la mujer</v>
      </c>
      <c r="B17" s="442">
        <f>IF(ISNUMBER(NºAsuntos!G17/NºAsuntos!E17),NºAsuntos!G17/NºAsuntos!E17," - ")</f>
        <v>1.7647058823529411</v>
      </c>
      <c r="C17" s="443">
        <f>IF(ISNUMBER(NºAsuntos!I17/NºAsuntos!G17),NºAsuntos!I17/NºAsuntos!G17," - ")</f>
        <v>2.1</v>
      </c>
      <c r="D17" s="444">
        <f>IF(ISNUMBER('Resol  Asuntos'!D17/NºAsuntos!G17),'Resol  Asuntos'!D17/NºAsuntos!G17," - ")</f>
        <v>0.3</v>
      </c>
      <c r="E17" s="445">
        <f>IF(ISNUMBER((NºAsuntos!C17+NºAsuntos!E17)/NºAsuntos!G17),(NºAsuntos!C17+NºAsuntos!E17)/NºAsuntos!G17," - ")</f>
        <v>3.1</v>
      </c>
      <c r="G17" s="463"/>
    </row>
    <row r="18" spans="1:7" ht="14.25" thickTop="1" thickBot="1">
      <c r="A18" s="848" t="str">
        <f>Datos!A18</f>
        <v>TOTAL</v>
      </c>
      <c r="B18" s="858">
        <f>IF(ISNUMBER(NºAsuntos!G18/NºAsuntos!E18),NºAsuntos!G18/NºAsuntos!E18," - ")</f>
        <v>1.0530973451327434</v>
      </c>
      <c r="C18" s="859">
        <f>IF(ISNUMBER(NºAsuntos!I18/NºAsuntos!G18),NºAsuntos!I18/NºAsuntos!G18," - ")</f>
        <v>2.7731092436974789</v>
      </c>
      <c r="D18" s="862">
        <f>IF(ISNUMBER('Resol  Asuntos'!D18/NºAsuntos!G18),'Resol  Asuntos'!D18/NºAsuntos!G18," - ")</f>
        <v>0.19747899159663865</v>
      </c>
      <c r="E18" s="861">
        <f>IF(ISNUMBER((NºAsuntos!C18+NºAsuntos!E18)/NºAsuntos!G18),(NºAsuntos!C18+NºAsuntos!E18)/NºAsuntos!G18," - ")</f>
        <v>3.7647058823529411</v>
      </c>
      <c r="G18" s="463"/>
    </row>
    <row r="19" spans="1:7" ht="15.75" customHeight="1" thickTop="1" thickBot="1">
      <c r="A19" s="793" t="str">
        <f>Datos!A19</f>
        <v>TOTAL JURISDICCIONES</v>
      </c>
      <c r="B19" s="808">
        <f>IF(ISNUMBER(NºAsuntos!G19/NºAsuntos!E19),NºAsuntos!G19/NºAsuntos!E19," - ")</f>
        <v>0.76243781094527363</v>
      </c>
      <c r="C19" s="809">
        <f>IF(ISNUMBER(NºAsuntos!I19/NºAsuntos!G19),NºAsuntos!I19/NºAsuntos!G19," - ")</f>
        <v>3.3605220228384991</v>
      </c>
      <c r="D19" s="810">
        <f>IF(ISNUMBER('Resol  Asuntos'!D19/NºAsuntos!G19),'Resol  Asuntos'!D19/NºAsuntos!G19," - ")</f>
        <v>0.21533442088091354</v>
      </c>
      <c r="E19" s="811">
        <f>IF(ISNUMBER((NºAsuntos!C19+NºAsuntos!E19)/NºAsuntos!G19),(NºAsuntos!C19+NºAsuntos!E19)/NºAsuntos!G19," - ")</f>
        <v>4.3572593800978794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a+kYs4lzL06iJZcnXKkzKXm2hJmodIbIvRBvxb7lAo1AbyQT68Q2O9VLycjqb22iUyVy2tfRF2Hg6OZ6lJ7bA==" saltValue="bdZ9cwg/mkugpwaErLbjJ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LAVIANA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v>
      </c>
      <c r="G10" s="333">
        <f>IF(ISNUMBER(Datos!I10),Datos!I10," - ")</f>
        <v>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v>
      </c>
      <c r="X10" s="226">
        <f>IF(ISNUMBER(Datos!Q10),Datos!Q10," - ")</f>
        <v>0</v>
      </c>
      <c r="Y10" s="334">
        <f t="shared" ref="Y10:Y12" si="0">SUM(W10:X10)</f>
        <v>15</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7.5</v>
      </c>
      <c r="AM10" s="260">
        <f>IF(ISNUMBER(((NºAsuntos!I10/NºAsuntos!G10)*11)/factor_trimestre),((NºAsuntos!I10/NºAsuntos!G10)*11)/factor_trimestre," - ")</f>
        <v>0</v>
      </c>
      <c r="AN10" s="244">
        <f>IF(ISNUMBER('Resol  Asuntos'!D10/NºAsuntos!G10),'Resol  Asuntos'!D10/NºAsuntos!G10," - ")</f>
        <v>0.6</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49</v>
      </c>
      <c r="Y12" s="334">
        <f t="shared" si="0"/>
        <v>49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1340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76</v>
      </c>
      <c r="AJ12" s="229" t="str">
        <f>IF(ISNUMBER(Datos!BW12),Datos!BW12," - ")</f>
        <v xml:space="preserve"> - </v>
      </c>
      <c r="AK12" s="228" t="str">
        <f>IF(ISNUMBER(Datos!BX12),Datos!BX12," - ")</f>
        <v xml:space="preserve"> - </v>
      </c>
      <c r="AL12" s="243">
        <f>IF(ISNUMBER(NºAsuntos!G12/NºAsuntos!E12),NºAsuntos!G12/NºAsuntos!E12," - ")</f>
        <v>0.625</v>
      </c>
      <c r="AM12" s="260">
        <f>IF(ISNUMBER(((NºAsuntos!I12/NºAsuntos!G12)*11)/factor_trimestre),((NºAsuntos!I12/NºAsuntos!G12)*11)/factor_trimestre," - ")</f>
        <v>11.666666666666668</v>
      </c>
      <c r="AN12" s="244">
        <f>IF(ISNUMBER('Resol  Asuntos'!D12/NºAsuntos!G12),'Resol  Asuntos'!D12/NºAsuntos!G12," - ")</f>
        <v>0.21111111111111111</v>
      </c>
      <c r="AO12" s="245">
        <f>IF(ISNUMBER((NºAsuntos!C12+NºAsuntos!E12)/NºAsuntos!G12),(NºAsuntos!C12+NºAsuntos!E12)/NºAsuntos!G12," - ")</f>
        <v>4.8888888888888893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13</v>
      </c>
      <c r="G13" s="866">
        <f t="shared" si="3"/>
        <v>13</v>
      </c>
      <c r="H13" s="865">
        <f t="shared" si="3"/>
        <v>0</v>
      </c>
      <c r="I13" s="867">
        <f t="shared" si="3"/>
        <v>0</v>
      </c>
      <c r="J13" s="867">
        <f t="shared" si="3"/>
        <v>0</v>
      </c>
      <c r="K13" s="867">
        <f t="shared" si="3"/>
        <v>0</v>
      </c>
      <c r="L13" s="867">
        <f t="shared" si="3"/>
        <v>109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v>
      </c>
      <c r="X13" s="867">
        <f t="shared" si="4"/>
        <v>49</v>
      </c>
      <c r="Y13" s="868">
        <f t="shared" si="4"/>
        <v>64</v>
      </c>
      <c r="Z13" s="868">
        <f t="shared" si="4"/>
        <v>0</v>
      </c>
      <c r="AA13" s="868">
        <f t="shared" si="4"/>
        <v>0</v>
      </c>
      <c r="AB13" s="868">
        <f t="shared" si="4"/>
        <v>1340</v>
      </c>
      <c r="AC13" s="868">
        <f t="shared" si="4"/>
        <v>0</v>
      </c>
      <c r="AD13" s="868">
        <f t="shared" si="4"/>
        <v>0</v>
      </c>
      <c r="AE13" s="872">
        <f t="shared" si="4"/>
        <v>0</v>
      </c>
      <c r="AF13" s="865">
        <f t="shared" si="4"/>
        <v>0</v>
      </c>
      <c r="AG13" s="873">
        <f t="shared" si="4"/>
        <v>0</v>
      </c>
      <c r="AH13" s="870">
        <f t="shared" si="4"/>
        <v>0</v>
      </c>
      <c r="AI13" s="865">
        <f t="shared" si="4"/>
        <v>85</v>
      </c>
      <c r="AJ13" s="867">
        <f t="shared" si="4"/>
        <v>0</v>
      </c>
      <c r="AK13" s="870">
        <f>SUBTOTAL(9,AK9:AK12)</f>
        <v>0</v>
      </c>
      <c r="AL13" s="874">
        <f>IF(ISNUMBER(NºAsuntos!G13/NºAsuntos!E13),NºAsuntos!G13/NºAsuntos!E13," - ")</f>
        <v>0.64878892733564009</v>
      </c>
      <c r="AM13" s="874">
        <f>IF(ISNUMBER(((NºAsuntos!I13/NºAsuntos!G13)*11)/factor_trimestre),((NºAsuntos!I13/NºAsuntos!G13)*11)/factor_trimestre," - ")</f>
        <v>11.200000000000001</v>
      </c>
      <c r="AN13" s="875">
        <f>IF(ISNUMBER('Resol  Asuntos'!D13/NºAsuntos!G13),'Resol  Asuntos'!D13/NºAsuntos!G13," - ")</f>
        <v>0.22666666666666666</v>
      </c>
      <c r="AO13" s="876">
        <f>IF(ISNUMBER((NºAsuntos!C13+NºAsuntos!E13)/NºAsuntos!G13),(NºAsuntos!C13+NºAsuntos!E13)/NºAsuntos!G13," - ")</f>
        <v>4.7333333333333334</v>
      </c>
      <c r="AP13" s="877" t="str">
        <f t="shared" si="2"/>
        <v xml:space="preserve"> - </v>
      </c>
      <c r="AQ13" s="877">
        <f>IF(ISNUMBER((H13-W13+K13)/(F13)),(H13-W13+K13)/(F13)," - ")</f>
        <v>-1.1538461538461537</v>
      </c>
      <c r="AR13" s="878">
        <f>IF(ISNUMBER((Datos!P13-Datos!Q13)/(Datos!R13-Datos!P13+Datos!Q13)),(Datos!P13-Datos!Q13)/(Datos!R13-Datos!P13+Datos!Q13)," - ")</f>
        <v>4.6875E-2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596</v>
      </c>
      <c r="G16" s="333">
        <f>IF(ISNUMBER(IF(D_I="SI",Datos!I16,Datos!I16+Datos!AC16)),IF(D_I="SI",Datos!I16,Datos!I16+Datos!AC16)," - ")</f>
        <v>594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208</v>
      </c>
      <c r="X16" s="226">
        <f>IF(ISNUMBER(Datos!Q16),Datos!Q16," - ")</f>
        <v>6</v>
      </c>
      <c r="Y16" s="334">
        <f t="shared" ref="Y16:Y17" si="7">SUM(W16:X16)</f>
        <v>214</v>
      </c>
      <c r="Z16" s="335" t="str">
        <f>IF(ISNUMBER(Datos!CC16),Datos!CC16," - ")</f>
        <v xml:space="preserve"> - </v>
      </c>
      <c r="AA16" s="332">
        <f>IF(ISNUMBER(IF(D_I="SI",Datos!L16,Datos!L16+Datos!AF16)),IF(D_I="SI",Datos!L16,Datos!L16+Datos!AF16)," - ")</f>
        <v>597</v>
      </c>
      <c r="AB16" s="334">
        <f>IF(ISNUMBER(Datos!R16),Datos!R16," - ")</f>
        <v>68</v>
      </c>
      <c r="AC16" s="334">
        <f t="shared" si="6"/>
        <v>665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38</v>
      </c>
      <c r="AJ16" s="231" t="str">
        <f>IF(ISNUMBER(Datos!BW16),Datos!BW16," - ")</f>
        <v xml:space="preserve"> - </v>
      </c>
      <c r="AK16" s="232" t="str">
        <f>IF(ISNUMBER(Datos!BX16),Datos!BX16," - ")</f>
        <v xml:space="preserve"> - </v>
      </c>
      <c r="AL16" s="243">
        <f>IF(ISNUMBER(NºAsuntos!G16/NºAsuntos!E16),NºAsuntos!G16/NºAsuntos!E16," - ")</f>
        <v>0.99521531100478466</v>
      </c>
      <c r="AM16" s="260">
        <f>IF(ISNUMBER(((NºAsuntos!I16/NºAsuntos!G16)*11)/factor_trimestre),((NºAsuntos!I16/NºAsuntos!G16)*11)/factor_trimestre," - ")</f>
        <v>8.6105769230769234</v>
      </c>
      <c r="AN16" s="244">
        <f>IF(ISNUMBER('Resol  Asuntos'!D16/NºAsuntos!G16),'Resol  Asuntos'!D16/NºAsuntos!G16," - ")</f>
        <v>0.18269230769230768</v>
      </c>
      <c r="AO16" s="245">
        <f>IF(ISNUMBER((NºAsuntos!C16+NºAsuntos!E16)/NºAsuntos!G16),(NºAsuntos!C16+NºAsuntos!E16)/NºAsuntos!G16," - ")</f>
        <v>3.8605769230769229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30</v>
      </c>
      <c r="X17" s="226">
        <f>IF(ISNUMBER(Datos!Q17),Datos!Q17," - ")</f>
        <v>0</v>
      </c>
      <c r="Y17" s="334">
        <f t="shared" si="7"/>
        <v>30</v>
      </c>
      <c r="Z17" s="335" t="str">
        <f>IF(ISNUMBER(Datos!CC17),Datos!CC17," - ")</f>
        <v xml:space="preserve"> - </v>
      </c>
      <c r="AA17" s="332">
        <f>IF(ISNUMBER(Datos!L17),Datos!L17,"-")</f>
        <v>63</v>
      </c>
      <c r="AB17" s="334">
        <f>IF(ISNUMBER(Datos!R17),Datos!R17," - ")</f>
        <v>0</v>
      </c>
      <c r="AC17" s="334">
        <f t="shared" si="6"/>
        <v>63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1.7647058823529411</v>
      </c>
      <c r="AM17" s="260">
        <f>IF(ISNUMBER(((NºAsuntos!I17/NºAsuntos!G17)*11)/factor_trimestre),((NºAsuntos!I17/NºAsuntos!G17)*11)/factor_trimestre," - ")</f>
        <v>6.3000000000000007</v>
      </c>
      <c r="AN17" s="244">
        <f>IF(ISNUMBER('Resol  Asuntos'!D17/NºAsuntos!G17),'Resol  Asuntos'!D17/NºAsuntos!G17," - ")</f>
        <v>0.3</v>
      </c>
      <c r="AO17" s="245">
        <f>IF(ISNUMBER((NºAsuntos!C17+NºAsuntos!E17)/NºAsuntos!G17),(NºAsuntos!C17+NºAsuntos!E17)/NºAsuntos!G17," - ")</f>
        <v>3.1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596</v>
      </c>
      <c r="G18" s="866">
        <f>SUBTOTAL(9,G15:G17)</f>
        <v>670</v>
      </c>
      <c r="H18" s="865">
        <f t="shared" ref="H18:O18" si="10">SUBTOTAL(9,H14:H17)</f>
        <v>0</v>
      </c>
      <c r="I18" s="867">
        <f t="shared" si="10"/>
        <v>0</v>
      </c>
      <c r="J18" s="867">
        <f t="shared" si="10"/>
        <v>0</v>
      </c>
      <c r="K18" s="867">
        <f t="shared" si="10"/>
        <v>0</v>
      </c>
      <c r="L18" s="867">
        <f t="shared" si="10"/>
        <v>25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238</v>
      </c>
      <c r="X18" s="867">
        <f t="shared" si="11"/>
        <v>6</v>
      </c>
      <c r="Y18" s="868">
        <f t="shared" si="11"/>
        <v>244</v>
      </c>
      <c r="Z18" s="868">
        <f t="shared" si="11"/>
        <v>0</v>
      </c>
      <c r="AA18" s="868">
        <f t="shared" si="11"/>
        <v>660</v>
      </c>
      <c r="AB18" s="868">
        <f t="shared" si="11"/>
        <v>68</v>
      </c>
      <c r="AC18" s="868">
        <f t="shared" si="11"/>
        <v>728</v>
      </c>
      <c r="AD18" s="868">
        <f t="shared" si="11"/>
        <v>0</v>
      </c>
      <c r="AE18" s="872">
        <f t="shared" si="11"/>
        <v>0</v>
      </c>
      <c r="AF18" s="865">
        <f t="shared" si="11"/>
        <v>0</v>
      </c>
      <c r="AG18" s="873">
        <f t="shared" si="11"/>
        <v>0</v>
      </c>
      <c r="AH18" s="870">
        <f t="shared" si="11"/>
        <v>0</v>
      </c>
      <c r="AI18" s="865">
        <f t="shared" si="11"/>
        <v>47</v>
      </c>
      <c r="AJ18" s="867">
        <f t="shared" si="11"/>
        <v>0</v>
      </c>
      <c r="AK18" s="870">
        <f t="shared" si="11"/>
        <v>0</v>
      </c>
      <c r="AL18" s="874">
        <f>IF(ISNUMBER(NºAsuntos!G18/NºAsuntos!E18),NºAsuntos!G18/NºAsuntos!E18," - ")</f>
        <v>1.0530973451327434</v>
      </c>
      <c r="AM18" s="874">
        <f>IF(ISNUMBER(((NºAsuntos!I18/NºAsuntos!G18)*11)/factor_trimestre),((NºAsuntos!I18/NºAsuntos!G18)*11)/factor_trimestre," - ")</f>
        <v>8.3193277310924376</v>
      </c>
      <c r="AN18" s="875">
        <f>IF(ISNUMBER('Resol  Asuntos'!D18/NºAsuntos!G18),'Resol  Asuntos'!D18/NºAsuntos!G18," - ")</f>
        <v>0.19747899159663865</v>
      </c>
      <c r="AO18" s="876">
        <f>IF(ISNUMBER((NºAsuntos!C18+NºAsuntos!E18)/NºAsuntos!G18),(NºAsuntos!C18+NºAsuntos!E18)/NºAsuntos!G18," - ")</f>
        <v>3.7647058823529411</v>
      </c>
      <c r="AP18" s="877" t="str">
        <f t="shared" si="2"/>
        <v xml:space="preserve"> - </v>
      </c>
      <c r="AQ18" s="877">
        <f>IF(ISNUMBER((H18-W18+K18)/(F18)),(H18-W18+K18)/(F18)," - ")</f>
        <v>-0.39932885906040266</v>
      </c>
      <c r="AR18" s="878">
        <f>IF(ISNUMBER((Datos!P18-Datos!Q18)/(Datos!R18-Datos!P18+Datos!Q18)),(Datos!P18-Datos!Q18)/(Datos!R18-Datos!P18+Datos!Q18)," - ")</f>
        <v>0.38775510204081631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609</v>
      </c>
      <c r="G19" s="821">
        <f t="shared" si="13"/>
        <v>683</v>
      </c>
      <c r="H19" s="820">
        <f t="shared" si="13"/>
        <v>0</v>
      </c>
      <c r="I19" s="822">
        <f t="shared" si="13"/>
        <v>0</v>
      </c>
      <c r="J19" s="822">
        <f t="shared" si="13"/>
        <v>0</v>
      </c>
      <c r="K19" s="881">
        <f t="shared" si="13"/>
        <v>0</v>
      </c>
      <c r="L19" s="822">
        <f t="shared" si="13"/>
        <v>134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253</v>
      </c>
      <c r="X19" s="821">
        <f t="shared" si="14"/>
        <v>55</v>
      </c>
      <c r="Y19" s="828">
        <f t="shared" si="14"/>
        <v>308</v>
      </c>
      <c r="Z19" s="828">
        <f t="shared" si="14"/>
        <v>0</v>
      </c>
      <c r="AA19" s="828">
        <f t="shared" si="14"/>
        <v>660</v>
      </c>
      <c r="AB19" s="828">
        <f t="shared" si="14"/>
        <v>1408</v>
      </c>
      <c r="AC19" s="828">
        <f t="shared" si="14"/>
        <v>728</v>
      </c>
      <c r="AD19" s="828">
        <f t="shared" si="14"/>
        <v>0</v>
      </c>
      <c r="AE19" s="830">
        <f t="shared" si="14"/>
        <v>0</v>
      </c>
      <c r="AF19" s="831">
        <f t="shared" si="14"/>
        <v>0</v>
      </c>
      <c r="AG19" s="832">
        <f t="shared" si="14"/>
        <v>0</v>
      </c>
      <c r="AH19" s="830">
        <f t="shared" si="14"/>
        <v>0</v>
      </c>
      <c r="AI19" s="820">
        <f t="shared" si="14"/>
        <v>132</v>
      </c>
      <c r="AJ19" s="820">
        <f t="shared" si="14"/>
        <v>0</v>
      </c>
      <c r="AK19" s="830">
        <f t="shared" si="14"/>
        <v>0</v>
      </c>
      <c r="AL19" s="884">
        <f>IF(ISNUMBER(NºAsuntos!G19/NºAsuntos!E19),NºAsuntos!G19/NºAsuntos!E19," - ")</f>
        <v>0.76243781094527363</v>
      </c>
      <c r="AM19" s="885">
        <f>IF(ISNUMBER(((NºAsuntos!I19/NºAsuntos!G19)*11)/factor_trimestre),((NºAsuntos!I19/NºAsuntos!G19)*11)/factor_trimestre," - ")</f>
        <v>10.081566068515498</v>
      </c>
      <c r="AN19" s="885">
        <f>IF(ISNUMBER('Resol  Asuntos'!D19/NºAsuntos!G19),'Resol  Asuntos'!D19/NºAsuntos!G19," - ")</f>
        <v>0.21533442088091354</v>
      </c>
      <c r="AO19" s="886">
        <f>IF(ISNUMBER((NºAsuntos!C19+NºAsuntos!E19)/NºAsuntos!G19),(NºAsuntos!C19+NºAsuntos!E19)/NºAsuntos!G19," - ")</f>
        <v>4.3572593800978794</v>
      </c>
      <c r="AP19" s="887" t="str">
        <f t="shared" si="2"/>
        <v xml:space="preserve"> - </v>
      </c>
      <c r="AQ19" s="888">
        <f>IF(OR(ISNUMBER(FIND("01",Criterios!A8,1)),ISNUMBER(FIND("02",Criterios!A8,1)),ISNUMBER(FIND("03",Criterios!A8,1)),ISNUMBER(FIND("04",Criterios!A8,1))),(I19-W19+K19)/(F19-K19),(H19-W19+K19)/(F19-K19))</f>
        <v>-0.4154351395730706</v>
      </c>
      <c r="AR19" s="889">
        <f>IF(ISNUMBER((Datos!P19-Datos!Q19)/(Datos!R19-Datos!P19+Datos!Q19)),(Datos!P19-Datos!Q19)/(Datos!R19-Datos!P19+Datos!Q19)," - ")</f>
        <v>5.9443190368698266E-2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273.2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336.59520693755184</v>
      </c>
      <c r="G21" s="253">
        <f>IF(ISNUMBER(STDEV(G8:G18)),STDEV(G8:G18),"-")</f>
        <v>329.64329205976571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111.86018058272569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32.249030993194197</v>
      </c>
      <c r="AJ21" s="252">
        <f t="shared" si="18"/>
        <v>0</v>
      </c>
      <c r="AK21" s="254">
        <f t="shared" si="18"/>
        <v>0</v>
      </c>
      <c r="AL21" s="249">
        <f t="shared" si="18"/>
        <v>2.6784542592099299</v>
      </c>
      <c r="AM21" s="250">
        <f t="shared" si="18"/>
        <v>4.2531254084615444</v>
      </c>
      <c r="AN21" s="250">
        <f t="shared" si="18"/>
        <v>0.15901484533961613</v>
      </c>
      <c r="AO21" s="251">
        <f t="shared" si="18"/>
        <v>1.4170449360805324</v>
      </c>
      <c r="AP21" s="291" t="str">
        <f t="shared" si="18"/>
        <v>-</v>
      </c>
      <c r="AQ21" s="292">
        <f t="shared" si="18"/>
        <v>0.53352429566553372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1wS4HWbwk1AAlg2ZwVa0kpxsKJLoOKr5lj0ugLpgH69Qla6mBS158LliYKPzc0KwQvsMtu0tEB7KU0dB8MjrfA==" saltValue="r8zmLu2CwacvN4HcWO95B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LAVIANA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0.625</v>
      </c>
      <c r="E10" s="348">
        <f>IF(ISNUMBER((Datos!J10-Datos!T10)/Datos!T10),(Datos!J10-Datos!T10)/Datos!T10," - ")</f>
        <v>-0.5</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-0.19148936170212766</v>
      </c>
      <c r="I12" s="350">
        <f>IF(ISNUMBER((Tasas!C12-Datos!BE12)/Datos!BE12),(Tasas!C12-Datos!BE12)/Datos!BE12," - ")</f>
        <v>4.254477095082641E-3</v>
      </c>
      <c r="J12" s="349">
        <f>IF(ISNUMBER((Tasas!D12-Datos!BF12)/Datos!BF12),(Tasas!D12-Datos!BF12)/Datos!BF12," - ")</f>
        <v>-0.30429292929292928</v>
      </c>
      <c r="K12" s="351">
        <f>IF(ISNUMBER((Tasas!E12-Datos!BG12)/Datos!BG12),(Tasas!E12-Datos!BG12)/Datos!BG12," - ")</f>
        <v>4.0919106074913418E-3</v>
      </c>
      <c r="M12" t="e">
        <f>IF(Monitorios="SI",Datos!CE12,0)</f>
        <v>#REF!</v>
      </c>
      <c r="N12" t="e">
        <f>IF(Monitorios="SI",Datos!CF12,0)</f>
        <v>#REF!</v>
      </c>
      <c r="O12" t="e">
        <f>IF(Monitorios="SI",Datos!CG12,0)</f>
        <v>#REF!</v>
      </c>
      <c r="P12" t="e">
        <f>IF(Monitorios="SI",Datos!CH12,0)</f>
        <v>#REF!</v>
      </c>
      <c r="Q12">
        <f>IF(J_V="SI",0,Datos!AG12)</f>
        <v>50</v>
      </c>
      <c r="R12">
        <f>IF(J_V="SI",0,Datos!AH12)</f>
        <v>31</v>
      </c>
      <c r="S12">
        <f>IF(J_V="SI",0,Datos!AI12)</f>
        <v>21</v>
      </c>
      <c r="T12">
        <f>IF(J_V="SI",0,Datos!AJ12)</f>
        <v>60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-9.5744680851063829E-2</v>
      </c>
      <c r="I13" s="357">
        <f>IF(ISNUMBER((Tasas!C13-Datos!BE13)/Datos!BE13),(Tasas!C13-Datos!BE13)/Datos!BE13," - ")</f>
        <v>-4.6108663729809075E-2</v>
      </c>
      <c r="J13" s="355">
        <f>IF(ISNUMBER((Tasas!D13-Datos!BF13)/Datos!BF13),(Tasas!D13-Datos!BF13)/Datos!BF13," - ")</f>
        <v>-0.25303030303030305</v>
      </c>
      <c r="K13" s="358">
        <f>IF(ISNUMBER((Tasas!E13-Datos!BG13)/Datos!BG13),(Tasas!E13-Datos!BG13)/Datos!BG13," - ")</f>
        <v>-3.6048689138576777E-2</v>
      </c>
      <c r="M13" t="e">
        <f>IF(Monitorios="SI",Datos!CE13,0)</f>
        <v>#REF!</v>
      </c>
      <c r="N13" t="e">
        <f>IF(Monitorios="SI",Datos!CF13,0)</f>
        <v>#REF!</v>
      </c>
      <c r="O13" t="e">
        <f>IF(Monitorios="SI",Datos!CG13,0)</f>
        <v>#REF!</v>
      </c>
      <c r="P13" t="e">
        <f>IF(Monitorios="SI",Datos!CH13,0)</f>
        <v>#REF!</v>
      </c>
      <c r="Q13">
        <f>IF(J_V="SI",0,Datos!AG13)</f>
        <v>50</v>
      </c>
      <c r="R13">
        <f>IF(J_V="SI",0,Datos!AH13)</f>
        <v>31</v>
      </c>
      <c r="S13">
        <f>IF(J_V="SI",0,Datos!AI13)</f>
        <v>21</v>
      </c>
      <c r="T13">
        <f>IF(J_V="SI",0,Datos!AJ13)</f>
        <v>60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0.44174757281553401</v>
      </c>
      <c r="E16" s="348">
        <f>IF(ISNUMBER(
   IF(D_I="SI",(Datos!J16-Datos!T16)/Datos!T16,(Datos!J16+Datos!AD16-(Datos!T16+Datos!AL16))/(Datos!T16+Datos!AL16))
     ),IF(D_I="SI",(Datos!J16-Datos!T16)/Datos!T16,(Datos!J16+Datos!AD16-(Datos!T16+Datos!AL16))/(Datos!T16+Datos!AL16))," - ")</f>
        <v>-0.35493827160493829</v>
      </c>
      <c r="F16" s="348">
        <f>IF(ISNUMBER(
   IF(D_I="SI",(Datos!K16-Datos!U16)/Datos!U16,(Datos!K16+Datos!AE16-(Datos!U16+Datos!AM16))/(Datos!U16+Datos!AM16))
     ),IF(D_I="SI",(Datos!K16-Datos!U16)/Datos!U16,(Datos!K16+Datos!AE16-(Datos!U16+Datos!AM16))/(Datos!U16+Datos!AM16))," - ")</f>
        <v>-0.17460317460317459</v>
      </c>
      <c r="G16" s="349">
        <f>IF(ISNUMBER(
   IF(D_I="SI",(Datos!L16-Datos!V16)/Datos!V16,(Datos!L16+Datos!AF16-(Datos!V16+Datos!AN16))/(Datos!V16+Datos!AN16))
     ),IF(D_I="SI",(Datos!L16-Datos!V16)/Datos!V16,(Datos!L16+Datos!AF16-(Datos!V16+Datos!AN16))/(Datos!V16+Datos!AN16))," - ")</f>
        <v>0.22587268993839835</v>
      </c>
      <c r="H16" s="230">
        <f>IF(ISNUMBER((Datos!M16-Datos!W16)/Datos!W16),(Datos!M16-Datos!W16)/Datos!W16," - ")</f>
        <v>-2.564102564102564E-2</v>
      </c>
      <c r="I16" s="350">
        <f>IF(ISNUMBER((Tasas!C16-Datos!BE16)/Datos!BE16),(Tasas!C16-Datos!BE16)/Datos!BE16," - ")</f>
        <v>0.48519191280998253</v>
      </c>
      <c r="J16" s="349">
        <f>IF(ISNUMBER((Tasas!D16-Datos!BF16)/Datos!BF16),(Tasas!D16-Datos!BF16)/Datos!BF16," - ")</f>
        <v>0.18047337278106498</v>
      </c>
      <c r="K16" s="351">
        <f>IF(ISNUMBER((Tasas!E16-Datos!BG16)/Datos!BG16),(Tasas!E16-Datos!BG16)/Datos!BG16," - ")</f>
        <v>0.32182796822742477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0.68888888888888888</v>
      </c>
      <c r="E17" s="348">
        <f>IF(ISNUMBER(
   IF(D_I="SI",(Datos!J17-Datos!T17)/Datos!T17,(Datos!J17+Datos!AD17-(Datos!T17+Datos!AL17))/(Datos!T17+Datos!AL17))
     ),IF(D_I="SI",(Datos!J17-Datos!T17)/Datos!T17,(Datos!J17+Datos!AD17-(Datos!T17+Datos!AL17))/(Datos!T17+Datos!AL17))," - ")</f>
        <v>-0.59523809523809523</v>
      </c>
      <c r="F17" s="348">
        <f>IF(ISNUMBER(
   IF(D_I="SI",(Datos!K17-Datos!U17)/Datos!U17,(Datos!K17+Datos!AE17-(Datos!U17+Datos!AM17))/(Datos!U17+Datos!AM17))
     ),IF(D_I="SI",(Datos!K17-Datos!U17)/Datos!U17,(Datos!K17+Datos!AE17-(Datos!U17+Datos!AM17))/(Datos!U17+Datos!AM17))," - ")</f>
        <v>0.15384615384615385</v>
      </c>
      <c r="G17" s="349">
        <f>IF(ISNUMBER(
   IF(D_I="SI",(Datos!L17-Datos!V17)/Datos!V17,(Datos!L17+Datos!AF17-(Datos!V17+Datos!AN17))/(Datos!V17+Datos!AN17))
     ),IF(D_I="SI",(Datos!L17-Datos!V17)/Datos!V17,(Datos!L17+Datos!AF17-(Datos!V17+Datos!AN17))/(Datos!V17+Datos!AN17))," - ")</f>
        <v>3.2786885245901641E-2</v>
      </c>
      <c r="H17" s="230">
        <f>IF(ISNUMBER((Datos!M17-Datos!W17)/Datos!W17),(Datos!M17-Datos!W17)/Datos!W17," - ")</f>
        <v>0.8</v>
      </c>
      <c r="I17" s="350">
        <f>IF(ISNUMBER((Tasas!C17-Datos!BE17)/Datos!BE17),(Tasas!C17-Datos!BE17)/Datos!BE17," - ")</f>
        <v>-0.10491803278688525</v>
      </c>
      <c r="J17" s="349">
        <f>IF(ISNUMBER((Tasas!D17-Datos!BF17)/Datos!BF17),(Tasas!D17-Datos!BF17)/Datos!BF17," - ")</f>
        <v>0.55999999999999983</v>
      </c>
      <c r="K17" s="351">
        <f>IF(ISNUMBER((Tasas!E17-Datos!BG17)/Datos!BG17),(Tasas!E17-Datos!BG17)/Datos!BG17," - ")</f>
        <v>-7.3563218390804597E-2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0.46608315098468273</v>
      </c>
      <c r="E18" s="354">
        <f>IF(ISNUMBER(
   IF(D_I="SI",(Datos!J18-Datos!T18)/Datos!T18,(Datos!J18+Datos!AD18-(Datos!T18+Datos!AL18))/(Datos!T18+Datos!AL18))
     ),IF(D_I="SI",(Datos!J18-Datos!T18)/Datos!T18,(Datos!J18+Datos!AD18-(Datos!T18+Datos!AL18))/(Datos!T18+Datos!AL18))," - ")</f>
        <v>-0.38251366120218577</v>
      </c>
      <c r="F18" s="354">
        <f>IF(ISNUMBER(
   IF(D_I="SI",(Datos!K18-Datos!U18)/Datos!U18,(Datos!K18+Datos!AE18-(Datos!U18+Datos!AM18))/(Datos!U18+Datos!AM18))
     ),IF(D_I="SI",(Datos!K18-Datos!U18)/Datos!U18,(Datos!K18+Datos!AE18-(Datos!U18+Datos!AM18))/(Datos!U18+Datos!AM18))," - ")</f>
        <v>-0.14388489208633093</v>
      </c>
      <c r="G18" s="355">
        <f>IF(ISNUMBER(
   IF(D_I="SI",(Datos!L18-Datos!V18)/Datos!V18,(Datos!L18+Datos!AF18-(Datos!V18+Datos!AN18))/(Datos!V18+Datos!AN18))
     ),IF(D_I="SI",(Datos!L18-Datos!V18)/Datos!V18,(Datos!L18+Datos!AF18-(Datos!V18+Datos!AN18))/(Datos!V18+Datos!AN18))," - ")</f>
        <v>0.20437956204379562</v>
      </c>
      <c r="H18" s="356">
        <f>IF(ISNUMBER((Datos!M18-Datos!W18)/Datos!W18),(Datos!M18-Datos!W18)/Datos!W18," - ")</f>
        <v>6.8181818181818177E-2</v>
      </c>
      <c r="I18" s="357">
        <f>IF(ISNUMBER((Tasas!C18-Datos!BE18)/Datos!BE18),(Tasas!C18-Datos!BE18)/Datos!BE18," - ")</f>
        <v>0.40679629516039989</v>
      </c>
      <c r="J18" s="355">
        <f>IF(ISNUMBER((Tasas!D18-Datos!BF18)/Datos!BF18),(Tasas!D18-Datos!BF18)/Datos!BF18," - ")</f>
        <v>0.24770817417876245</v>
      </c>
      <c r="K18" s="358">
        <f>IF(ISNUMBER((Tasas!E18-Datos!BG18)/Datos!BG18),(Tasas!E18-Datos!BG18)/Datos!BG18," - ")</f>
        <v>0.27167464798799235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0.24383744170552965</v>
      </c>
      <c r="E19" s="363">
        <f>IF(ISNUMBER(
   IF(J_V="SI",(Datos!J19-Datos!T19)/Datos!T19,(Datos!J19+Datos!Z19-(Datos!T19+Datos!AH19))/(Datos!T19+Datos!AH19))
     ),IF(J_V="SI",(Datos!J19-Datos!T19)/Datos!T19,(Datos!J19+Datos!Z19-(Datos!T19+Datos!AH19))/(Datos!T19+Datos!AH19))," - ")</f>
        <v>7.7747989276139406E-2</v>
      </c>
      <c r="F19" s="363">
        <f>IF(ISNUMBER(
   IF(J_V="SI",(Datos!K19-Datos!U19)/Datos!U19,(Datos!K19+Datos!AA19-(Datos!U19+Datos!AI19))/(Datos!U19+Datos!AI19))
     ),IF(J_V="SI",(Datos!K19-Datos!U19)/Datos!U19,(Datos!K19+Datos!AA19-(Datos!U19+Datos!AI19))/(Datos!U19+Datos!AI19))," - ")</f>
        <v>7.9225352112676062E-2</v>
      </c>
      <c r="G19" s="364">
        <f>IF(ISNUMBER(
   IF(J_V="SI",(Datos!L19-Datos!V19)/Datos!V19,(Datos!L19+Datos!AB19-(Datos!V19+Datos!AJ19))/(Datos!V19+Datos!AJ19))
     ),IF(J_V="SI",(Datos!L19-Datos!V19)/Datos!V19,(Datos!L19+Datos!AB19-(Datos!V19+Datos!AJ19))/(Datos!V19+Datos!AJ19))," - ")</f>
        <v>0.22400475341651813</v>
      </c>
      <c r="H19" s="365">
        <f>IF(ISNUMBER((Datos!M19-Datos!W19)/Datos!W19),(Datos!M19-Datos!W19)/Datos!W19," - ")</f>
        <v>-4.3478260869565216E-2</v>
      </c>
      <c r="I19" s="362">
        <f>IF(ISNUMBER((Tasas!C19-Datos!BE19)/Datos!BE19),(Tasas!C19-Datos!BE19)/Datos!BE19," - ")</f>
        <v>0.13415122339409832</v>
      </c>
      <c r="J19" s="363">
        <f>IF(ISNUMBER((Tasas!D19-Datos!BF19)/Datos!BF19),(Tasas!D19-Datos!BF19)/Datos!BF19," - ")</f>
        <v>-7.3409461663947795E-2</v>
      </c>
      <c r="K19" s="364">
        <f>IF(ISNUMBER((Tasas!E19-Datos!BG19)/Datos!BG19),(Tasas!E19-Datos!BG19)/Datos!BG19," - ")</f>
        <v>0.10143450284628198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0.12049593852482697</v>
      </c>
      <c r="E21" s="278">
        <f t="shared" si="1"/>
        <v>0.11093253648769355</v>
      </c>
      <c r="F21" s="278">
        <f t="shared" si="1"/>
        <v>0.18141405217147633</v>
      </c>
      <c r="G21" s="279">
        <f t="shared" si="1"/>
        <v>0.58360452227176418</v>
      </c>
      <c r="H21" s="285">
        <f t="shared" si="1"/>
        <v>0.39669519935540698</v>
      </c>
      <c r="I21" s="277">
        <f t="shared" si="1"/>
        <v>0.27521670877004528</v>
      </c>
      <c r="J21" s="278">
        <f t="shared" si="1"/>
        <v>0.36298096418714937</v>
      </c>
      <c r="K21" s="279">
        <f t="shared" si="1"/>
        <v>0.18471785712764768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p11mvnV+GUDOZ3EQgOrU4qnPsSXh69azRfKLRASLVmMY5vfqziAb6TW19cLsMhHESHYVvnd36fu69uyHjb4Pw==" saltValue="s3ZOK8HBJKA17kIOL5bTL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